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75" yWindow="255" windowWidth="19320" windowHeight="9270" firstSheet="9" activeTab="9"/>
  </bookViews>
  <sheets>
    <sheet name="notes" sheetId="15" state="veryHidden" r:id="rId1"/>
    <sheet name="Options" sheetId="18" state="veryHidden" r:id="rId2"/>
    <sheet name="Calcs" sheetId="27" state="veryHidden" r:id="rId3"/>
    <sheet name="PSH4BG_24" sheetId="142" state="veryHidden" r:id="rId4"/>
    <sheet name="PSH4BG_36" sheetId="143" state="veryHidden" r:id="rId5"/>
    <sheet name="PSH4BG_48" sheetId="144" state="veryHidden" r:id="rId6"/>
    <sheet name="PSH4BG_60" sheetId="145" state="veryHidden" r:id="rId7"/>
    <sheet name="Form" sheetId="1" state="veryHidden" r:id="rId8"/>
    <sheet name="Instructions" sheetId="28" state="veryHidden" r:id="rId9"/>
    <sheet name="Prompt" sheetId="12" r:id="rId10"/>
    <sheet name="Sheet1" sheetId="119" state="veryHidden" r:id="rId11"/>
  </sheets>
  <functionGroups builtInGroupCount="17"/>
  <definedNames>
    <definedName name="CFM">Options!$C$1:$C$3</definedName>
    <definedName name="eaf">notes!$C$2:$C$10</definedName>
    <definedName name="FormRange">Form!$A$31:$P$42</definedName>
    <definedName name="Loptions">Options!$A$1:$A$2</definedName>
    <definedName name="mbtuh">notes!$D$2:$D$8</definedName>
    <definedName name="NCoptions">Options!$B$1:$B$8</definedName>
    <definedName name="_xlnm.Print_Area" localSheetId="7">Form!$A$13:$P$53</definedName>
  </definedNames>
  <calcPr calcId="145621"/>
</workbook>
</file>

<file path=xl/calcChain.xml><?xml version="1.0" encoding="utf-8"?>
<calcChain xmlns="http://schemas.openxmlformats.org/spreadsheetml/2006/main">
  <c r="O19" i="145" l="1"/>
  <c r="M19" i="145"/>
  <c r="K19" i="145"/>
  <c r="I19" i="145"/>
  <c r="G19" i="145"/>
  <c r="E19" i="145"/>
  <c r="C19" i="145"/>
  <c r="O18" i="145"/>
  <c r="M18" i="145"/>
  <c r="K18" i="145"/>
  <c r="I18" i="145"/>
  <c r="G18" i="145"/>
  <c r="E18" i="145"/>
  <c r="C18" i="145"/>
  <c r="O17" i="145"/>
  <c r="M17" i="145"/>
  <c r="K17" i="145"/>
  <c r="I17" i="145"/>
  <c r="G17" i="145"/>
  <c r="E17" i="145"/>
  <c r="C17" i="145"/>
  <c r="O16" i="145"/>
  <c r="M16" i="145"/>
  <c r="K16" i="145"/>
  <c r="I16" i="145"/>
  <c r="G16" i="145"/>
  <c r="E16" i="145"/>
  <c r="C16" i="145"/>
  <c r="O15" i="145"/>
  <c r="M15" i="145"/>
  <c r="K15" i="145"/>
  <c r="I15" i="145"/>
  <c r="G15" i="145"/>
  <c r="E15" i="145"/>
  <c r="C15" i="145"/>
  <c r="O14" i="145"/>
  <c r="K14" i="145"/>
  <c r="I14" i="145"/>
  <c r="G14" i="145"/>
  <c r="E14" i="145"/>
  <c r="C14" i="145"/>
  <c r="O13" i="145"/>
  <c r="M13" i="145"/>
  <c r="K13" i="145"/>
  <c r="I13" i="145"/>
  <c r="G13" i="145"/>
  <c r="E13" i="145"/>
  <c r="C13" i="145"/>
  <c r="O12" i="145"/>
  <c r="M12" i="145"/>
  <c r="K12" i="145"/>
  <c r="I12" i="145"/>
  <c r="G12" i="145"/>
  <c r="E12" i="145"/>
  <c r="C12" i="145"/>
  <c r="O11" i="145"/>
  <c r="M11" i="145"/>
  <c r="K11" i="145"/>
  <c r="I11" i="145"/>
  <c r="G11" i="145"/>
  <c r="E11" i="145"/>
  <c r="C11" i="145"/>
  <c r="O10" i="145"/>
  <c r="M10" i="145"/>
  <c r="K10" i="145"/>
  <c r="I10" i="145"/>
  <c r="G10" i="145"/>
  <c r="E10" i="145"/>
  <c r="C10" i="145"/>
  <c r="O9" i="145"/>
  <c r="M9" i="145"/>
  <c r="K9" i="145"/>
  <c r="I9" i="145"/>
  <c r="G9" i="145"/>
  <c r="E9" i="145"/>
  <c r="C9" i="145"/>
  <c r="O8" i="145"/>
  <c r="M8" i="145"/>
  <c r="K8" i="145"/>
  <c r="I8" i="145"/>
  <c r="G8" i="145"/>
  <c r="E8" i="145"/>
  <c r="C8" i="145"/>
  <c r="O19" i="144"/>
  <c r="M19" i="144"/>
  <c r="K19" i="144"/>
  <c r="I19" i="144"/>
  <c r="G19" i="144"/>
  <c r="E19" i="144"/>
  <c r="C19" i="144"/>
  <c r="O18" i="144"/>
  <c r="M18" i="144"/>
  <c r="K18" i="144"/>
  <c r="I18" i="144"/>
  <c r="G18" i="144"/>
  <c r="E18" i="144"/>
  <c r="C18" i="144"/>
  <c r="O17" i="144"/>
  <c r="M17" i="144"/>
  <c r="K17" i="144"/>
  <c r="I17" i="144"/>
  <c r="G17" i="144"/>
  <c r="E17" i="144"/>
  <c r="C17" i="144"/>
  <c r="O16" i="144"/>
  <c r="M16" i="144"/>
  <c r="K16" i="144"/>
  <c r="I16" i="144"/>
  <c r="G16" i="144"/>
  <c r="E16" i="144"/>
  <c r="C16" i="144"/>
  <c r="O15" i="144"/>
  <c r="M15" i="144"/>
  <c r="K15" i="144"/>
  <c r="I15" i="144"/>
  <c r="G15" i="144"/>
  <c r="E15" i="144"/>
  <c r="C15" i="144"/>
  <c r="O14" i="144"/>
  <c r="K14" i="144"/>
  <c r="I14" i="144"/>
  <c r="G14" i="144"/>
  <c r="E14" i="144"/>
  <c r="C14" i="144"/>
  <c r="O13" i="144"/>
  <c r="M13" i="144"/>
  <c r="K13" i="144"/>
  <c r="I13" i="144"/>
  <c r="G13" i="144"/>
  <c r="E13" i="144"/>
  <c r="C13" i="144"/>
  <c r="O12" i="144"/>
  <c r="M12" i="144"/>
  <c r="K12" i="144"/>
  <c r="I12" i="144"/>
  <c r="G12" i="144"/>
  <c r="E12" i="144"/>
  <c r="C12" i="144"/>
  <c r="O11" i="144"/>
  <c r="M11" i="144"/>
  <c r="K11" i="144"/>
  <c r="I11" i="144"/>
  <c r="G11" i="144"/>
  <c r="E11" i="144"/>
  <c r="C11" i="144"/>
  <c r="O10" i="144"/>
  <c r="M10" i="144"/>
  <c r="K10" i="144"/>
  <c r="I10" i="144"/>
  <c r="G10" i="144"/>
  <c r="E10" i="144"/>
  <c r="C10" i="144"/>
  <c r="O9" i="144"/>
  <c r="M9" i="144"/>
  <c r="K9" i="144"/>
  <c r="I9" i="144"/>
  <c r="G9" i="144"/>
  <c r="E9" i="144"/>
  <c r="C9" i="144"/>
  <c r="O8" i="144"/>
  <c r="M8" i="144"/>
  <c r="K8" i="144"/>
  <c r="I8" i="144"/>
  <c r="G8" i="144"/>
  <c r="E8" i="144"/>
  <c r="C8" i="144"/>
  <c r="O19" i="143"/>
  <c r="M19" i="143"/>
  <c r="K19" i="143"/>
  <c r="I19" i="143"/>
  <c r="G19" i="143"/>
  <c r="E19" i="143"/>
  <c r="C19" i="143"/>
  <c r="O18" i="143"/>
  <c r="M18" i="143"/>
  <c r="K18" i="143"/>
  <c r="I18" i="143"/>
  <c r="G18" i="143"/>
  <c r="E18" i="143"/>
  <c r="C18" i="143"/>
  <c r="O17" i="143"/>
  <c r="M17" i="143"/>
  <c r="K17" i="143"/>
  <c r="I17" i="143"/>
  <c r="G17" i="143"/>
  <c r="E17" i="143"/>
  <c r="C17" i="143"/>
  <c r="O16" i="143"/>
  <c r="M16" i="143"/>
  <c r="K16" i="143"/>
  <c r="I16" i="143"/>
  <c r="G16" i="143"/>
  <c r="E16" i="143"/>
  <c r="C16" i="143"/>
  <c r="O15" i="143"/>
  <c r="M15" i="143"/>
  <c r="K15" i="143"/>
  <c r="I15" i="143"/>
  <c r="G15" i="143"/>
  <c r="E15" i="143"/>
  <c r="C15" i="143"/>
  <c r="O14" i="143"/>
  <c r="K14" i="143"/>
  <c r="I14" i="143"/>
  <c r="G14" i="143"/>
  <c r="E14" i="143"/>
  <c r="C14" i="143"/>
  <c r="O13" i="143"/>
  <c r="M13" i="143"/>
  <c r="K13" i="143"/>
  <c r="I13" i="143"/>
  <c r="G13" i="143"/>
  <c r="E13" i="143"/>
  <c r="C13" i="143"/>
  <c r="O12" i="143"/>
  <c r="M12" i="143"/>
  <c r="K12" i="143"/>
  <c r="I12" i="143"/>
  <c r="G12" i="143"/>
  <c r="E12" i="143"/>
  <c r="C12" i="143"/>
  <c r="O11" i="143"/>
  <c r="M11" i="143"/>
  <c r="K11" i="143"/>
  <c r="I11" i="143"/>
  <c r="G11" i="143"/>
  <c r="E11" i="143"/>
  <c r="C11" i="143"/>
  <c r="O10" i="143"/>
  <c r="M10" i="143"/>
  <c r="K10" i="143"/>
  <c r="I10" i="143"/>
  <c r="G10" i="143"/>
  <c r="E10" i="143"/>
  <c r="C10" i="143"/>
  <c r="O9" i="143"/>
  <c r="M9" i="143"/>
  <c r="K9" i="143"/>
  <c r="I9" i="143"/>
  <c r="G9" i="143"/>
  <c r="E9" i="143"/>
  <c r="C9" i="143"/>
  <c r="O8" i="143"/>
  <c r="M8" i="143"/>
  <c r="K8" i="143"/>
  <c r="I8" i="143"/>
  <c r="G8" i="143"/>
  <c r="E8" i="143"/>
  <c r="C8" i="143"/>
  <c r="O19" i="142"/>
  <c r="O18" i="142"/>
  <c r="O17" i="142"/>
  <c r="O16" i="142"/>
  <c r="O15" i="142"/>
  <c r="O14" i="142"/>
  <c r="O13" i="142"/>
  <c r="O12" i="142"/>
  <c r="O11" i="142"/>
  <c r="O10" i="142"/>
  <c r="O9" i="142"/>
  <c r="O8" i="142"/>
  <c r="M19" i="142"/>
  <c r="M18" i="142"/>
  <c r="M17" i="142"/>
  <c r="M16" i="142"/>
  <c r="M15" i="142"/>
  <c r="M13" i="142"/>
  <c r="M12" i="142"/>
  <c r="M11" i="142"/>
  <c r="M10" i="142"/>
  <c r="M9" i="142"/>
  <c r="M8" i="142"/>
  <c r="K19" i="142"/>
  <c r="K18" i="142"/>
  <c r="K17" i="142"/>
  <c r="K16" i="142"/>
  <c r="K15" i="142"/>
  <c r="K14" i="142"/>
  <c r="K13" i="142"/>
  <c r="K12" i="142"/>
  <c r="K11" i="142"/>
  <c r="K10" i="142"/>
  <c r="K9" i="142"/>
  <c r="K8" i="142"/>
  <c r="I19" i="142"/>
  <c r="I18" i="142"/>
  <c r="I17" i="142"/>
  <c r="I16" i="142"/>
  <c r="I15" i="142"/>
  <c r="I14" i="142"/>
  <c r="I13" i="142"/>
  <c r="I12" i="142"/>
  <c r="I11" i="142"/>
  <c r="I10" i="142"/>
  <c r="I9" i="142"/>
  <c r="AQ19" i="145" l="1"/>
  <c r="L19" i="145" s="1"/>
  <c r="AS19" i="145"/>
  <c r="P19" i="145" s="1"/>
  <c r="AR19" i="145"/>
  <c r="N19" i="145" s="1"/>
  <c r="AP19" i="145"/>
  <c r="J19" i="145" s="1"/>
  <c r="AO19" i="145"/>
  <c r="H19" i="145" s="1"/>
  <c r="AN19" i="145"/>
  <c r="F19" i="145" s="1"/>
  <c r="AM19" i="145"/>
  <c r="D19" i="145" s="1"/>
  <c r="AP18" i="145"/>
  <c r="J18" i="145" s="1"/>
  <c r="AS18" i="145"/>
  <c r="P18" i="145" s="1"/>
  <c r="AR18" i="145"/>
  <c r="N18" i="145" s="1"/>
  <c r="AQ18" i="145"/>
  <c r="L18" i="145" s="1"/>
  <c r="AO18" i="145"/>
  <c r="H18" i="145" s="1"/>
  <c r="AN18" i="145"/>
  <c r="F18" i="145" s="1"/>
  <c r="AM18" i="145"/>
  <c r="D18" i="145" s="1"/>
  <c r="AS17" i="145"/>
  <c r="P17" i="145" s="1"/>
  <c r="AR17" i="145"/>
  <c r="N17" i="145" s="1"/>
  <c r="AQ17" i="145"/>
  <c r="L17" i="145" s="1"/>
  <c r="AP17" i="145"/>
  <c r="J17" i="145" s="1"/>
  <c r="AO17" i="145"/>
  <c r="H17" i="145" s="1"/>
  <c r="AN17" i="145"/>
  <c r="F17" i="145" s="1"/>
  <c r="AM17" i="145"/>
  <c r="D17" i="145" s="1"/>
  <c r="AP16" i="145"/>
  <c r="J16" i="145" s="1"/>
  <c r="AS16" i="145"/>
  <c r="P16" i="145" s="1"/>
  <c r="AR16" i="145"/>
  <c r="N16" i="145" s="1"/>
  <c r="AQ16" i="145"/>
  <c r="L16" i="145" s="1"/>
  <c r="AO16" i="145"/>
  <c r="H16" i="145" s="1"/>
  <c r="AN16" i="145"/>
  <c r="F16" i="145" s="1"/>
  <c r="AM16" i="145"/>
  <c r="D16" i="145" s="1"/>
  <c r="AM15" i="145"/>
  <c r="D15" i="145" s="1"/>
  <c r="AS15" i="145"/>
  <c r="P15" i="145" s="1"/>
  <c r="AR15" i="145"/>
  <c r="N15" i="145" s="1"/>
  <c r="AQ15" i="145"/>
  <c r="L15" i="145" s="1"/>
  <c r="AP15" i="145"/>
  <c r="J15" i="145" s="1"/>
  <c r="AO15" i="145"/>
  <c r="H15" i="145" s="1"/>
  <c r="AN15" i="145"/>
  <c r="F15" i="145" s="1"/>
  <c r="AP14" i="145"/>
  <c r="J14" i="145" s="1"/>
  <c r="AS14" i="145"/>
  <c r="P14" i="145" s="1"/>
  <c r="AR14" i="145"/>
  <c r="N14" i="145" s="1"/>
  <c r="AQ14" i="145"/>
  <c r="L14" i="145" s="1"/>
  <c r="AO14" i="145"/>
  <c r="H14" i="145" s="1"/>
  <c r="AN14" i="145"/>
  <c r="F14" i="145" s="1"/>
  <c r="AM14" i="145"/>
  <c r="D14" i="145" s="1"/>
  <c r="AS13" i="145"/>
  <c r="P13" i="145" s="1"/>
  <c r="AR13" i="145"/>
  <c r="N13" i="145" s="1"/>
  <c r="AQ13" i="145"/>
  <c r="L13" i="145" s="1"/>
  <c r="AP13" i="145"/>
  <c r="J13" i="145" s="1"/>
  <c r="AO13" i="145"/>
  <c r="H13" i="145" s="1"/>
  <c r="AN13" i="145"/>
  <c r="F13" i="145" s="1"/>
  <c r="AM13" i="145"/>
  <c r="D13" i="145" s="1"/>
  <c r="AO12" i="145"/>
  <c r="H12" i="145" s="1"/>
  <c r="AS12" i="145"/>
  <c r="P12" i="145" s="1"/>
  <c r="AR12" i="145"/>
  <c r="N12" i="145" s="1"/>
  <c r="AQ12" i="145"/>
  <c r="L12" i="145" s="1"/>
  <c r="AP12" i="145"/>
  <c r="J12" i="145" s="1"/>
  <c r="AN12" i="145"/>
  <c r="F12" i="145" s="1"/>
  <c r="AM12" i="145"/>
  <c r="D12" i="145" s="1"/>
  <c r="AS11" i="145"/>
  <c r="P11" i="145" s="1"/>
  <c r="AR11" i="145"/>
  <c r="N11" i="145" s="1"/>
  <c r="AQ11" i="145"/>
  <c r="L11" i="145" s="1"/>
  <c r="AP11" i="145"/>
  <c r="J11" i="145" s="1"/>
  <c r="AO11" i="145"/>
  <c r="H11" i="145" s="1"/>
  <c r="AN11" i="145"/>
  <c r="F11" i="145" s="1"/>
  <c r="AM11" i="145"/>
  <c r="D11" i="145" s="1"/>
  <c r="AN10" i="145"/>
  <c r="F10" i="145" s="1"/>
  <c r="AM10" i="145"/>
  <c r="D10" i="145" s="1"/>
  <c r="AS10" i="145"/>
  <c r="P10" i="145" s="1"/>
  <c r="AR10" i="145"/>
  <c r="N10" i="145" s="1"/>
  <c r="AQ10" i="145"/>
  <c r="L10" i="145" s="1"/>
  <c r="AP10" i="145"/>
  <c r="J10" i="145" s="1"/>
  <c r="AO10" i="145"/>
  <c r="H10" i="145" s="1"/>
  <c r="AR9" i="145"/>
  <c r="N9" i="145" s="1"/>
  <c r="AS9" i="145"/>
  <c r="P9" i="145" s="1"/>
  <c r="AQ9" i="145"/>
  <c r="L9" i="145" s="1"/>
  <c r="AP9" i="145"/>
  <c r="J9" i="145" s="1"/>
  <c r="AO9" i="145"/>
  <c r="H9" i="145" s="1"/>
  <c r="AN9" i="145"/>
  <c r="F9" i="145" s="1"/>
  <c r="AM9" i="145"/>
  <c r="D9" i="145" s="1"/>
  <c r="AS8" i="145"/>
  <c r="P8" i="145" s="1"/>
  <c r="AR8" i="145"/>
  <c r="N8" i="145" s="1"/>
  <c r="AQ8" i="145"/>
  <c r="L8" i="145" s="1"/>
  <c r="AP8" i="145"/>
  <c r="J8" i="145" s="1"/>
  <c r="AO8" i="145"/>
  <c r="H8" i="145" s="1"/>
  <c r="AN8" i="145"/>
  <c r="F8" i="145" s="1"/>
  <c r="AM8" i="145"/>
  <c r="D8" i="145" s="1"/>
  <c r="AP19" i="144"/>
  <c r="J19" i="144" s="1"/>
  <c r="AS19" i="144"/>
  <c r="P19" i="144" s="1"/>
  <c r="AR19" i="144"/>
  <c r="N19" i="144" s="1"/>
  <c r="AQ19" i="144"/>
  <c r="L19" i="144" s="1"/>
  <c r="AO19" i="144"/>
  <c r="H19" i="144" s="1"/>
  <c r="AN19" i="144"/>
  <c r="F19" i="144" s="1"/>
  <c r="AM19" i="144"/>
  <c r="D19" i="144" s="1"/>
  <c r="AR18" i="144"/>
  <c r="N18" i="144" s="1"/>
  <c r="AS18" i="144"/>
  <c r="P18" i="144" s="1"/>
  <c r="AQ18" i="144"/>
  <c r="L18" i="144" s="1"/>
  <c r="AP18" i="144"/>
  <c r="J18" i="144" s="1"/>
  <c r="AO18" i="144"/>
  <c r="H18" i="144" s="1"/>
  <c r="AN18" i="144"/>
  <c r="F18" i="144" s="1"/>
  <c r="AM18" i="144"/>
  <c r="D18" i="144" s="1"/>
  <c r="AR17" i="144"/>
  <c r="N17" i="144" s="1"/>
  <c r="AS17" i="144"/>
  <c r="P17" i="144" s="1"/>
  <c r="AQ17" i="144"/>
  <c r="L17" i="144" s="1"/>
  <c r="AP17" i="144"/>
  <c r="J17" i="144" s="1"/>
  <c r="AO17" i="144"/>
  <c r="H17" i="144" s="1"/>
  <c r="AN17" i="144"/>
  <c r="F17" i="144" s="1"/>
  <c r="AM17" i="144"/>
  <c r="D17" i="144" s="1"/>
  <c r="AS16" i="144"/>
  <c r="P16" i="144" s="1"/>
  <c r="AR16" i="144"/>
  <c r="N16" i="144" s="1"/>
  <c r="AQ16" i="144"/>
  <c r="L16" i="144" s="1"/>
  <c r="AP16" i="144"/>
  <c r="J16" i="144" s="1"/>
  <c r="AO16" i="144"/>
  <c r="H16" i="144" s="1"/>
  <c r="AN16" i="144"/>
  <c r="F16" i="144" s="1"/>
  <c r="AM16" i="144"/>
  <c r="D16" i="144" s="1"/>
  <c r="AS15" i="144"/>
  <c r="P15" i="144" s="1"/>
  <c r="AR15" i="144"/>
  <c r="N15" i="144" s="1"/>
  <c r="AQ15" i="144"/>
  <c r="L15" i="144" s="1"/>
  <c r="AP15" i="144"/>
  <c r="J15" i="144" s="1"/>
  <c r="AO15" i="144"/>
  <c r="H15" i="144" s="1"/>
  <c r="AN15" i="144"/>
  <c r="F15" i="144" s="1"/>
  <c r="AM15" i="144"/>
  <c r="D15" i="144" s="1"/>
  <c r="AQ14" i="144"/>
  <c r="L14" i="144" s="1"/>
  <c r="AP14" i="144"/>
  <c r="J14" i="144" s="1"/>
  <c r="AN14" i="144"/>
  <c r="F14" i="144" s="1"/>
  <c r="AM14" i="144"/>
  <c r="D14" i="144" s="1"/>
  <c r="AS14" i="144"/>
  <c r="P14" i="144" s="1"/>
  <c r="AR14" i="144"/>
  <c r="N14" i="144" s="1"/>
  <c r="AO14" i="144"/>
  <c r="H14" i="144" s="1"/>
  <c r="AS13" i="144"/>
  <c r="P13" i="144" s="1"/>
  <c r="AR13" i="144"/>
  <c r="N13" i="144" s="1"/>
  <c r="AQ13" i="144"/>
  <c r="L13" i="144" s="1"/>
  <c r="AP13" i="144"/>
  <c r="J13" i="144" s="1"/>
  <c r="AO13" i="144"/>
  <c r="H13" i="144" s="1"/>
  <c r="AN13" i="144"/>
  <c r="F13" i="144" s="1"/>
  <c r="AM13" i="144"/>
  <c r="D13" i="144" s="1"/>
  <c r="AP12" i="144"/>
  <c r="J12" i="144" s="1"/>
  <c r="AS12" i="144"/>
  <c r="P12" i="144" s="1"/>
  <c r="AR12" i="144"/>
  <c r="N12" i="144" s="1"/>
  <c r="AQ12" i="144"/>
  <c r="L12" i="144" s="1"/>
  <c r="AO12" i="144"/>
  <c r="H12" i="144" s="1"/>
  <c r="AN12" i="144"/>
  <c r="F12" i="144" s="1"/>
  <c r="AM12" i="144"/>
  <c r="D12" i="144" s="1"/>
  <c r="AS11" i="144"/>
  <c r="P11" i="144" s="1"/>
  <c r="AR11" i="144"/>
  <c r="N11" i="144" s="1"/>
  <c r="AQ11" i="144"/>
  <c r="L11" i="144" s="1"/>
  <c r="AP11" i="144"/>
  <c r="J11" i="144" s="1"/>
  <c r="AO11" i="144"/>
  <c r="H11" i="144" s="1"/>
  <c r="AN11" i="144"/>
  <c r="F11" i="144" s="1"/>
  <c r="AM11" i="144"/>
  <c r="D11" i="144" s="1"/>
  <c r="AM10" i="144"/>
  <c r="D10" i="144" s="1"/>
  <c r="AS10" i="144"/>
  <c r="P10" i="144" s="1"/>
  <c r="AR10" i="144"/>
  <c r="N10" i="144" s="1"/>
  <c r="AQ10" i="144"/>
  <c r="L10" i="144" s="1"/>
  <c r="AP10" i="144"/>
  <c r="J10" i="144" s="1"/>
  <c r="AO10" i="144"/>
  <c r="H10" i="144" s="1"/>
  <c r="AN10" i="144"/>
  <c r="F10" i="144" s="1"/>
  <c r="AS9" i="144"/>
  <c r="P9" i="144" s="1"/>
  <c r="AR9" i="144"/>
  <c r="N9" i="144" s="1"/>
  <c r="AQ9" i="144"/>
  <c r="L9" i="144" s="1"/>
  <c r="AP9" i="144"/>
  <c r="J9" i="144" s="1"/>
  <c r="AO9" i="144"/>
  <c r="H9" i="144" s="1"/>
  <c r="AN9" i="144"/>
  <c r="F9" i="144" s="1"/>
  <c r="AM9" i="144"/>
  <c r="D9" i="144" s="1"/>
  <c r="AS8" i="144"/>
  <c r="P8" i="144" s="1"/>
  <c r="AO8" i="144"/>
  <c r="H8" i="144" s="1"/>
  <c r="AN8" i="144"/>
  <c r="F8" i="144" s="1"/>
  <c r="AR8" i="144"/>
  <c r="N8" i="144" s="1"/>
  <c r="AQ8" i="144"/>
  <c r="L8" i="144" s="1"/>
  <c r="AP8" i="144"/>
  <c r="J8" i="144" s="1"/>
  <c r="AM8" i="144"/>
  <c r="D8" i="144" s="1"/>
  <c r="AS19" i="143"/>
  <c r="P19" i="143" s="1"/>
  <c r="AR19" i="143"/>
  <c r="N19" i="143" s="1"/>
  <c r="AQ19" i="143"/>
  <c r="L19" i="143" s="1"/>
  <c r="AP19" i="143"/>
  <c r="J19" i="143" s="1"/>
  <c r="AO19" i="143"/>
  <c r="H19" i="143" s="1"/>
  <c r="AN19" i="143"/>
  <c r="F19" i="143" s="1"/>
  <c r="AM19" i="143"/>
  <c r="D19" i="143" s="1"/>
  <c r="AP18" i="143"/>
  <c r="J18" i="143" s="1"/>
  <c r="AS18" i="143"/>
  <c r="P18" i="143" s="1"/>
  <c r="AR18" i="143"/>
  <c r="N18" i="143" s="1"/>
  <c r="AQ18" i="143"/>
  <c r="L18" i="143" s="1"/>
  <c r="AO18" i="143"/>
  <c r="H18" i="143" s="1"/>
  <c r="AN18" i="143"/>
  <c r="F18" i="143" s="1"/>
  <c r="AM18" i="143"/>
  <c r="D18" i="143" s="1"/>
  <c r="AS17" i="143"/>
  <c r="P17" i="143" s="1"/>
  <c r="AR17" i="143"/>
  <c r="N17" i="143" s="1"/>
  <c r="AQ17" i="143"/>
  <c r="L17" i="143" s="1"/>
  <c r="AP17" i="143"/>
  <c r="J17" i="143" s="1"/>
  <c r="AO17" i="143"/>
  <c r="H17" i="143" s="1"/>
  <c r="AN17" i="143"/>
  <c r="F17" i="143" s="1"/>
  <c r="AM17" i="143"/>
  <c r="D17" i="143" s="1"/>
  <c r="AR16" i="143"/>
  <c r="N16" i="143" s="1"/>
  <c r="AS16" i="143"/>
  <c r="P16" i="143" s="1"/>
  <c r="AQ16" i="143"/>
  <c r="L16" i="143" s="1"/>
  <c r="AP16" i="143"/>
  <c r="J16" i="143" s="1"/>
  <c r="AO16" i="143"/>
  <c r="H16" i="143" s="1"/>
  <c r="AN16" i="143"/>
  <c r="F16" i="143" s="1"/>
  <c r="AM16" i="143"/>
  <c r="D16" i="143" s="1"/>
  <c r="AS15" i="143"/>
  <c r="P15" i="143" s="1"/>
  <c r="AR15" i="143"/>
  <c r="N15" i="143" s="1"/>
  <c r="AQ15" i="143"/>
  <c r="L15" i="143" s="1"/>
  <c r="AP15" i="143"/>
  <c r="J15" i="143" s="1"/>
  <c r="AO15" i="143"/>
  <c r="H15" i="143" s="1"/>
  <c r="AN15" i="143"/>
  <c r="F15" i="143" s="1"/>
  <c r="AM15" i="143"/>
  <c r="D15" i="143" s="1"/>
  <c r="AP14" i="143"/>
  <c r="J14" i="143" s="1"/>
  <c r="AS14" i="143"/>
  <c r="P14" i="143" s="1"/>
  <c r="AR14" i="143"/>
  <c r="N14" i="143" s="1"/>
  <c r="AQ14" i="143"/>
  <c r="L14" i="143" s="1"/>
  <c r="AO14" i="143"/>
  <c r="H14" i="143" s="1"/>
  <c r="AN14" i="143"/>
  <c r="F14" i="143" s="1"/>
  <c r="AM14" i="143"/>
  <c r="D14" i="143" s="1"/>
  <c r="AS13" i="143"/>
  <c r="P13" i="143" s="1"/>
  <c r="AR13" i="143"/>
  <c r="N13" i="143" s="1"/>
  <c r="AQ13" i="143"/>
  <c r="L13" i="143" s="1"/>
  <c r="AP13" i="143"/>
  <c r="J13" i="143" s="1"/>
  <c r="AO13" i="143"/>
  <c r="H13" i="143" s="1"/>
  <c r="AN13" i="143"/>
  <c r="F13" i="143" s="1"/>
  <c r="AM13" i="143"/>
  <c r="D13" i="143" s="1"/>
  <c r="AN12" i="143"/>
  <c r="F12" i="143" s="1"/>
  <c r="AS12" i="143"/>
  <c r="P12" i="143" s="1"/>
  <c r="AR12" i="143"/>
  <c r="N12" i="143" s="1"/>
  <c r="AQ12" i="143"/>
  <c r="L12" i="143" s="1"/>
  <c r="AP12" i="143"/>
  <c r="J12" i="143" s="1"/>
  <c r="AO12" i="143"/>
  <c r="H12" i="143" s="1"/>
  <c r="AM12" i="143"/>
  <c r="D12" i="143" s="1"/>
  <c r="AP11" i="143"/>
  <c r="J11" i="143" s="1"/>
  <c r="AS11" i="143"/>
  <c r="P11" i="143" s="1"/>
  <c r="AR11" i="143"/>
  <c r="N11" i="143" s="1"/>
  <c r="AQ11" i="143"/>
  <c r="L11" i="143" s="1"/>
  <c r="AO11" i="143"/>
  <c r="H11" i="143" s="1"/>
  <c r="AN11" i="143"/>
  <c r="F11" i="143" s="1"/>
  <c r="AM11" i="143"/>
  <c r="D11" i="143" s="1"/>
  <c r="AS10" i="143"/>
  <c r="P10" i="143" s="1"/>
  <c r="AR10" i="143"/>
  <c r="N10" i="143" s="1"/>
  <c r="AQ10" i="143"/>
  <c r="L10" i="143" s="1"/>
  <c r="AP10" i="143"/>
  <c r="J10" i="143" s="1"/>
  <c r="AO10" i="143"/>
  <c r="H10" i="143" s="1"/>
  <c r="AN10" i="143"/>
  <c r="F10" i="143" s="1"/>
  <c r="AM10" i="143"/>
  <c r="D10" i="143" s="1"/>
  <c r="AM9" i="143"/>
  <c r="D9" i="143" s="1"/>
  <c r="AS9" i="143"/>
  <c r="P9" i="143" s="1"/>
  <c r="AR9" i="143"/>
  <c r="N9" i="143" s="1"/>
  <c r="AQ9" i="143"/>
  <c r="L9" i="143" s="1"/>
  <c r="AP9" i="143"/>
  <c r="J9" i="143" s="1"/>
  <c r="AO9" i="143"/>
  <c r="H9" i="143" s="1"/>
  <c r="AN9" i="143"/>
  <c r="F9" i="143" s="1"/>
  <c r="AR8" i="143"/>
  <c r="N8" i="143" s="1"/>
  <c r="AQ8" i="143"/>
  <c r="L8" i="143" s="1"/>
  <c r="AS8" i="143"/>
  <c r="P8" i="143" s="1"/>
  <c r="AP8" i="143"/>
  <c r="J8" i="143" s="1"/>
  <c r="AO8" i="143"/>
  <c r="H8" i="143" s="1"/>
  <c r="AN8" i="143"/>
  <c r="F8" i="143" s="1"/>
  <c r="AM8" i="143"/>
  <c r="D8" i="143" s="1"/>
  <c r="C19" i="27" l="1"/>
  <c r="E19" i="27" s="1"/>
  <c r="G19" i="27" s="1"/>
  <c r="C12" i="27"/>
  <c r="E12" i="27" s="1"/>
  <c r="G12" i="27" s="1"/>
  <c r="G3" i="15" l="1"/>
  <c r="H3" i="15" s="1"/>
  <c r="G4" i="15"/>
  <c r="H4" i="15" s="1"/>
  <c r="G5" i="15"/>
  <c r="H5" i="15" s="1"/>
  <c r="G6" i="15"/>
  <c r="H6" i="15" s="1"/>
  <c r="G7" i="15"/>
  <c r="H7" i="15" s="1"/>
  <c r="G8" i="15"/>
  <c r="H8" i="15" s="1"/>
  <c r="B14" i="15"/>
  <c r="E15" i="15"/>
  <c r="E42" i="15" s="1"/>
  <c r="F15" i="15"/>
  <c r="G15" i="15"/>
  <c r="G42" i="15" s="1"/>
  <c r="H15" i="15"/>
  <c r="I15" i="15"/>
  <c r="I42" i="15" s="1"/>
  <c r="J15" i="15"/>
  <c r="K15" i="15"/>
  <c r="K42" i="15" s="1"/>
  <c r="C16" i="15"/>
  <c r="C43" i="15" s="1"/>
  <c r="D16" i="15"/>
  <c r="D43" i="15" s="1"/>
  <c r="E16" i="15"/>
  <c r="F16" i="15"/>
  <c r="G16" i="15"/>
  <c r="H16" i="15"/>
  <c r="I16" i="15"/>
  <c r="J16" i="15"/>
  <c r="K16" i="15"/>
  <c r="L16" i="15"/>
  <c r="D17" i="15"/>
  <c r="D44" i="15" s="1"/>
  <c r="E17" i="15"/>
  <c r="F17" i="15"/>
  <c r="G17" i="15"/>
  <c r="H17" i="15"/>
  <c r="I17" i="15"/>
  <c r="J17" i="15"/>
  <c r="K17" i="15"/>
  <c r="L17" i="15"/>
  <c r="D18" i="15"/>
  <c r="D45" i="15" s="1"/>
  <c r="E18" i="15"/>
  <c r="F18" i="15"/>
  <c r="G18" i="15"/>
  <c r="H18" i="15"/>
  <c r="I18" i="15"/>
  <c r="J18" i="15"/>
  <c r="K18" i="15"/>
  <c r="L18" i="15"/>
  <c r="D19" i="15"/>
  <c r="D46" i="15" s="1"/>
  <c r="E19" i="15"/>
  <c r="F19" i="15"/>
  <c r="G19" i="15"/>
  <c r="H19" i="15"/>
  <c r="I19" i="15"/>
  <c r="J19" i="15"/>
  <c r="K19" i="15"/>
  <c r="L19" i="15"/>
  <c r="C20" i="15"/>
  <c r="C21" i="15" s="1"/>
  <c r="D20" i="15"/>
  <c r="D47" i="15" s="1"/>
  <c r="E20" i="15"/>
  <c r="F20" i="15"/>
  <c r="G20" i="15"/>
  <c r="H20" i="15"/>
  <c r="I20" i="15"/>
  <c r="J20" i="15"/>
  <c r="K20" i="15"/>
  <c r="L20" i="15"/>
  <c r="D21" i="15"/>
  <c r="D48" i="15" s="1"/>
  <c r="E21" i="15"/>
  <c r="F21" i="15"/>
  <c r="G21" i="15"/>
  <c r="H21" i="15"/>
  <c r="I21" i="15"/>
  <c r="J21" i="15"/>
  <c r="K21" i="15"/>
  <c r="L21" i="15"/>
  <c r="D22" i="15"/>
  <c r="D49" i="15" s="1"/>
  <c r="E22" i="15"/>
  <c r="F22" i="15"/>
  <c r="G22" i="15"/>
  <c r="H22" i="15"/>
  <c r="I22" i="15"/>
  <c r="J22" i="15"/>
  <c r="K22" i="15"/>
  <c r="L22" i="15"/>
  <c r="D23" i="15"/>
  <c r="D50" i="15" s="1"/>
  <c r="E23" i="15"/>
  <c r="F23" i="15"/>
  <c r="G23" i="15"/>
  <c r="H23" i="15"/>
  <c r="I23" i="15"/>
  <c r="J23" i="15"/>
  <c r="K23" i="15"/>
  <c r="L23" i="15"/>
  <c r="C24" i="15"/>
  <c r="C51" i="15" s="1"/>
  <c r="D24" i="15"/>
  <c r="D51" i="15" s="1"/>
  <c r="E24" i="15"/>
  <c r="F24" i="15"/>
  <c r="G24" i="15"/>
  <c r="H24" i="15"/>
  <c r="I24" i="15"/>
  <c r="J24" i="15"/>
  <c r="K24" i="15"/>
  <c r="L24" i="15"/>
  <c r="D25" i="15"/>
  <c r="D52" i="15" s="1"/>
  <c r="E25" i="15"/>
  <c r="F25" i="15"/>
  <c r="G25" i="15"/>
  <c r="H25" i="15"/>
  <c r="I25" i="15"/>
  <c r="J25" i="15"/>
  <c r="K25" i="15"/>
  <c r="L25" i="15"/>
  <c r="D26" i="15"/>
  <c r="D53" i="15" s="1"/>
  <c r="E26" i="15"/>
  <c r="F26" i="15"/>
  <c r="G26" i="15"/>
  <c r="H26" i="15"/>
  <c r="I26" i="15"/>
  <c r="J26" i="15"/>
  <c r="K26" i="15"/>
  <c r="L26" i="15"/>
  <c r="D27" i="15"/>
  <c r="D54" i="15" s="1"/>
  <c r="E27" i="15"/>
  <c r="F27" i="15"/>
  <c r="G27" i="15"/>
  <c r="H27" i="15"/>
  <c r="I27" i="15"/>
  <c r="J27" i="15"/>
  <c r="K27" i="15"/>
  <c r="L27" i="15"/>
  <c r="A28" i="15"/>
  <c r="K30" i="15"/>
  <c r="N36" i="15"/>
  <c r="E43" i="15"/>
  <c r="F43" i="15"/>
  <c r="G43" i="15"/>
  <c r="H43" i="15"/>
  <c r="I43" i="15"/>
  <c r="J43" i="15"/>
  <c r="K43" i="15"/>
  <c r="L43" i="15"/>
  <c r="E44" i="15"/>
  <c r="F44" i="15"/>
  <c r="G44" i="15"/>
  <c r="H44" i="15"/>
  <c r="I44" i="15"/>
  <c r="J44" i="15"/>
  <c r="K44" i="15"/>
  <c r="L44" i="15"/>
  <c r="E45" i="15"/>
  <c r="F45" i="15"/>
  <c r="G45" i="15"/>
  <c r="H45" i="15"/>
  <c r="I45" i="15"/>
  <c r="J45" i="15"/>
  <c r="K45" i="15"/>
  <c r="L45" i="15"/>
  <c r="E46" i="15"/>
  <c r="F46" i="15"/>
  <c r="G46" i="15"/>
  <c r="H46" i="15"/>
  <c r="I46" i="15"/>
  <c r="J46" i="15"/>
  <c r="K46" i="15"/>
  <c r="L46" i="15"/>
  <c r="E47" i="15"/>
  <c r="F47" i="15"/>
  <c r="G47" i="15"/>
  <c r="H47" i="15"/>
  <c r="I47" i="15"/>
  <c r="J47" i="15"/>
  <c r="K47" i="15"/>
  <c r="L47" i="15"/>
  <c r="E48" i="15"/>
  <c r="F48" i="15"/>
  <c r="G48" i="15"/>
  <c r="H48" i="15"/>
  <c r="I48" i="15"/>
  <c r="J48" i="15"/>
  <c r="K48" i="15"/>
  <c r="L48" i="15"/>
  <c r="E49" i="15"/>
  <c r="F49" i="15"/>
  <c r="G49" i="15"/>
  <c r="H49" i="15"/>
  <c r="I49" i="15"/>
  <c r="J49" i="15"/>
  <c r="K49" i="15"/>
  <c r="L49" i="15"/>
  <c r="E50" i="15"/>
  <c r="F50" i="15"/>
  <c r="G50" i="15"/>
  <c r="H50" i="15"/>
  <c r="I50" i="15"/>
  <c r="J50" i="15"/>
  <c r="K50" i="15"/>
  <c r="L50" i="15"/>
  <c r="E51" i="15"/>
  <c r="F51" i="15"/>
  <c r="G51" i="15"/>
  <c r="H51" i="15"/>
  <c r="I51" i="15"/>
  <c r="J51" i="15"/>
  <c r="K51" i="15"/>
  <c r="L51" i="15"/>
  <c r="E52" i="15"/>
  <c r="F52" i="15"/>
  <c r="G52" i="15"/>
  <c r="H52" i="15"/>
  <c r="I52" i="15"/>
  <c r="J52" i="15"/>
  <c r="K52" i="15"/>
  <c r="L52" i="15"/>
  <c r="E53" i="15"/>
  <c r="F53" i="15"/>
  <c r="G53" i="15"/>
  <c r="H53" i="15"/>
  <c r="I53" i="15"/>
  <c r="J53" i="15"/>
  <c r="K53" i="15"/>
  <c r="L53" i="15"/>
  <c r="E54" i="15"/>
  <c r="F54" i="15"/>
  <c r="G54" i="15"/>
  <c r="H54" i="15"/>
  <c r="I54" i="15"/>
  <c r="J54" i="15"/>
  <c r="K54" i="15"/>
  <c r="L54" i="15"/>
  <c r="A55" i="15"/>
  <c r="K57" i="15"/>
  <c r="N63" i="15"/>
  <c r="C17" i="15" l="1"/>
  <c r="C18" i="15" s="1"/>
  <c r="C19" i="15" s="1"/>
  <c r="J29" i="15"/>
  <c r="I30" i="15" s="1"/>
  <c r="F29" i="15"/>
  <c r="E30" i="15" s="1"/>
  <c r="E31" i="15" s="1"/>
  <c r="E14" i="15" s="1"/>
  <c r="C47" i="15"/>
  <c r="A47" i="15" s="1"/>
  <c r="O47" i="15" s="1"/>
  <c r="H29" i="15"/>
  <c r="G30" i="15" s="1"/>
  <c r="K29" i="15"/>
  <c r="K31" i="15" s="1"/>
  <c r="K14" i="15" s="1"/>
  <c r="I29" i="15"/>
  <c r="H30" i="15" s="1"/>
  <c r="G29" i="15"/>
  <c r="F30" i="15" s="1"/>
  <c r="M24" i="15"/>
  <c r="M20" i="15"/>
  <c r="A20" i="15"/>
  <c r="O20" i="15" s="1"/>
  <c r="C25" i="15"/>
  <c r="C52" i="15" s="1"/>
  <c r="A16" i="15"/>
  <c r="A24" i="15"/>
  <c r="M16" i="15"/>
  <c r="J42" i="15"/>
  <c r="H42" i="15"/>
  <c r="F42" i="15"/>
  <c r="F56" i="15" s="1"/>
  <c r="C22" i="15"/>
  <c r="C48" i="15"/>
  <c r="A21" i="15"/>
  <c r="M21" i="15"/>
  <c r="H2" i="15"/>
  <c r="A51" i="15"/>
  <c r="M51" i="15"/>
  <c r="A43" i="15"/>
  <c r="M43" i="15"/>
  <c r="C45" i="15" l="1"/>
  <c r="A45" i="15" s="1"/>
  <c r="M17" i="15"/>
  <c r="A17" i="15"/>
  <c r="N17" i="15" s="1"/>
  <c r="M18" i="15"/>
  <c r="A18" i="15"/>
  <c r="O18" i="15" s="1"/>
  <c r="C44" i="15"/>
  <c r="A44" i="15" s="1"/>
  <c r="O44" i="15" s="1"/>
  <c r="M47" i="15"/>
  <c r="F31" i="15"/>
  <c r="F14" i="15" s="1"/>
  <c r="H31" i="15"/>
  <c r="H14" i="15" s="1"/>
  <c r="J30" i="15"/>
  <c r="J31" i="15" s="1"/>
  <c r="J14" i="15" s="1"/>
  <c r="N47" i="15"/>
  <c r="I31" i="15"/>
  <c r="I14" i="15" s="1"/>
  <c r="G31" i="15"/>
  <c r="G14" i="15" s="1"/>
  <c r="N20" i="15"/>
  <c r="G56" i="15"/>
  <c r="F57" i="15" s="1"/>
  <c r="F58" i="15" s="1"/>
  <c r="F41" i="15" s="1"/>
  <c r="O16" i="15"/>
  <c r="H56" i="15"/>
  <c r="G57" i="15" s="1"/>
  <c r="I56" i="15"/>
  <c r="H57" i="15" s="1"/>
  <c r="O17" i="15"/>
  <c r="E57" i="15"/>
  <c r="E58" i="15" s="1"/>
  <c r="E41" i="15" s="1"/>
  <c r="J56" i="15"/>
  <c r="I57" i="15" s="1"/>
  <c r="K56" i="15"/>
  <c r="O24" i="15"/>
  <c r="N24" i="15"/>
  <c r="M25" i="15"/>
  <c r="A25" i="15"/>
  <c r="C26" i="15"/>
  <c r="N16" i="15"/>
  <c r="N21" i="15"/>
  <c r="O21" i="15"/>
  <c r="C23" i="15"/>
  <c r="M22" i="15"/>
  <c r="C49" i="15"/>
  <c r="A22" i="15"/>
  <c r="M48" i="15"/>
  <c r="A48" i="15"/>
  <c r="C46" i="15"/>
  <c r="A19" i="15"/>
  <c r="M19" i="15"/>
  <c r="A52" i="15"/>
  <c r="M52" i="15"/>
  <c r="O43" i="15"/>
  <c r="N43" i="15"/>
  <c r="N51" i="15"/>
  <c r="O51" i="15"/>
  <c r="M45" i="15" l="1"/>
  <c r="N18" i="15"/>
  <c r="P17" i="15" s="1"/>
  <c r="B17" i="15" s="1"/>
  <c r="N44" i="15"/>
  <c r="P43" i="15" s="1"/>
  <c r="B43" i="15" s="1"/>
  <c r="M44" i="15"/>
  <c r="L14" i="15"/>
  <c r="G58" i="15"/>
  <c r="G41" i="15" s="1"/>
  <c r="C31" i="15"/>
  <c r="C30" i="15"/>
  <c r="P16" i="15"/>
  <c r="B16" i="15" s="1"/>
  <c r="I58" i="15"/>
  <c r="I41" i="15" s="1"/>
  <c r="A26" i="15"/>
  <c r="C53" i="15"/>
  <c r="C27" i="15"/>
  <c r="M26" i="15"/>
  <c r="N25" i="15"/>
  <c r="O25" i="15"/>
  <c r="J57" i="15"/>
  <c r="J58" i="15" s="1"/>
  <c r="J41" i="15" s="1"/>
  <c r="K58" i="15"/>
  <c r="K41" i="15" s="1"/>
  <c r="H58" i="15"/>
  <c r="H41" i="15" s="1"/>
  <c r="M49" i="15"/>
  <c r="A49" i="15"/>
  <c r="A23" i="15"/>
  <c r="C50" i="15"/>
  <c r="M23" i="15"/>
  <c r="O48" i="15"/>
  <c r="N48" i="15"/>
  <c r="N22" i="15"/>
  <c r="O22" i="15"/>
  <c r="O45" i="15"/>
  <c r="N45" i="15"/>
  <c r="N19" i="15"/>
  <c r="O19" i="15"/>
  <c r="P20" i="15" s="1"/>
  <c r="B20" i="15" s="1"/>
  <c r="O52" i="15"/>
  <c r="N52" i="15"/>
  <c r="A46" i="15"/>
  <c r="M46" i="15"/>
  <c r="C58" i="15" l="1"/>
  <c r="C57" i="15"/>
  <c r="M27" i="15"/>
  <c r="C54" i="15"/>
  <c r="A27" i="15"/>
  <c r="O26" i="15"/>
  <c r="N26" i="15"/>
  <c r="P25" i="15" s="1"/>
  <c r="B25" i="15" s="1"/>
  <c r="M53" i="15"/>
  <c r="A53" i="15"/>
  <c r="L41" i="15"/>
  <c r="O23" i="15"/>
  <c r="P24" i="15" s="1"/>
  <c r="B24" i="15" s="1"/>
  <c r="N23" i="15"/>
  <c r="A50" i="15"/>
  <c r="M50" i="15"/>
  <c r="N49" i="15"/>
  <c r="P48" i="15" s="1"/>
  <c r="B48" i="15" s="1"/>
  <c r="O49" i="15"/>
  <c r="P21" i="15"/>
  <c r="B21" i="15" s="1"/>
  <c r="O46" i="15"/>
  <c r="P47" i="15" s="1"/>
  <c r="B47" i="15" s="1"/>
  <c r="N46" i="15"/>
  <c r="P44" i="15"/>
  <c r="B44" i="15" s="1"/>
  <c r="P19" i="15"/>
  <c r="B19" i="15" s="1"/>
  <c r="P18" i="15"/>
  <c r="B18" i="15" s="1"/>
  <c r="P23" i="15" l="1"/>
  <c r="B23" i="15" s="1"/>
  <c r="N53" i="15"/>
  <c r="P52" i="15" s="1"/>
  <c r="B52" i="15" s="1"/>
  <c r="O53" i="15"/>
  <c r="O27" i="15"/>
  <c r="N27" i="15"/>
  <c r="M54" i="15"/>
  <c r="A54" i="15"/>
  <c r="B65" i="15" s="1"/>
  <c r="P22" i="15"/>
  <c r="B22" i="15" s="1"/>
  <c r="P46" i="15"/>
  <c r="B46" i="15" s="1"/>
  <c r="N50" i="15"/>
  <c r="P49" i="15" s="1"/>
  <c r="B49" i="15" s="1"/>
  <c r="O50" i="15"/>
  <c r="P51" i="15" s="1"/>
  <c r="B51" i="15" s="1"/>
  <c r="P45" i="15"/>
  <c r="B45" i="15" s="1"/>
  <c r="O54" i="15" l="1"/>
  <c r="N54" i="15"/>
  <c r="P27" i="15"/>
  <c r="B27" i="15" s="1"/>
  <c r="K35" i="15" s="1"/>
  <c r="N35" i="15" s="1"/>
  <c r="P26" i="15"/>
  <c r="B26" i="15" s="1"/>
  <c r="P50" i="15"/>
  <c r="B50" i="15" s="1"/>
  <c r="P54" i="15" l="1"/>
  <c r="B54" i="15" s="1"/>
  <c r="K62" i="15" s="1"/>
  <c r="N62" i="15" s="1"/>
  <c r="B35" i="15"/>
  <c r="B37" i="15"/>
  <c r="B36" i="15"/>
  <c r="B34" i="15"/>
  <c r="B32" i="15"/>
  <c r="C32" i="15" s="1"/>
  <c r="B28" i="15"/>
  <c r="B33" i="15"/>
  <c r="C33" i="15" s="1"/>
  <c r="P53" i="15"/>
  <c r="B53" i="15" s="1"/>
  <c r="C36" i="15" l="1"/>
  <c r="C37" i="15"/>
  <c r="C34" i="15"/>
  <c r="C35" i="15"/>
  <c r="B55" i="15"/>
  <c r="B62" i="15"/>
  <c r="B61" i="15"/>
  <c r="B63" i="15"/>
  <c r="B64" i="15"/>
  <c r="F33" i="15"/>
  <c r="E33" i="15"/>
  <c r="B60" i="15"/>
  <c r="C60" i="15" s="1"/>
  <c r="B59" i="15"/>
  <c r="C59" i="15" s="1"/>
  <c r="E32" i="15" l="1"/>
  <c r="E34" i="15" s="1"/>
  <c r="C63" i="15"/>
  <c r="F32" i="15"/>
  <c r="F34" i="15" s="1"/>
  <c r="F60" i="15"/>
  <c r="E60" i="15"/>
  <c r="C61" i="15"/>
  <c r="C64" i="15"/>
  <c r="C62" i="15"/>
  <c r="F59" i="15" l="1"/>
  <c r="F61" i="15" s="1"/>
  <c r="F35" i="15"/>
  <c r="E35" i="15"/>
  <c r="E59" i="15"/>
  <c r="E61" i="15" s="1"/>
  <c r="E36" i="15" l="1"/>
  <c r="K37" i="15" s="1"/>
  <c r="L37" i="15" s="1"/>
  <c r="M37" i="15" s="1"/>
  <c r="E62" i="15"/>
  <c r="F62" i="15"/>
  <c r="N37" i="15" l="1"/>
  <c r="N38" i="15" s="1"/>
  <c r="E63" i="15"/>
  <c r="K64" i="15" s="1"/>
  <c r="L64" i="15" l="1"/>
  <c r="M64" i="15" s="1"/>
  <c r="N64" i="15" l="1"/>
  <c r="N65" i="15" s="1"/>
  <c r="H12" i="142"/>
  <c r="C15" i="142"/>
  <c r="AM15" i="142" s="1"/>
  <c r="D15" i="142" s="1"/>
  <c r="C8" i="142"/>
  <c r="AM8" i="142" s="1"/>
  <c r="D8" i="142" s="1"/>
  <c r="C18" i="142"/>
  <c r="AM18" i="142"/>
  <c r="D18" i="142" s="1"/>
  <c r="C9" i="142"/>
  <c r="AM9" i="142" s="1"/>
  <c r="D9" i="142" s="1"/>
  <c r="G16" i="142"/>
  <c r="AO16" i="142"/>
  <c r="H16" i="142" s="1"/>
  <c r="G17" i="142"/>
  <c r="AO17" i="142" s="1"/>
  <c r="H17" i="142" s="1"/>
  <c r="E13" i="142"/>
  <c r="AN13" i="142"/>
  <c r="F13" i="142" s="1"/>
  <c r="E14" i="142"/>
  <c r="AN14" i="142"/>
  <c r="F14" i="142" s="1"/>
  <c r="C19" i="142"/>
  <c r="AM19" i="142"/>
  <c r="D19" i="142" s="1"/>
  <c r="E16" i="142"/>
  <c r="AN16" i="142" s="1"/>
  <c r="F16" i="142" s="1"/>
  <c r="G8" i="142"/>
  <c r="AO8" i="142"/>
  <c r="H8" i="142" s="1"/>
  <c r="C16" i="142"/>
  <c r="AM16" i="142"/>
  <c r="D16" i="142" s="1"/>
  <c r="E15" i="142"/>
  <c r="AN15" i="142" s="1"/>
  <c r="F15" i="142" s="1"/>
  <c r="G19" i="142"/>
  <c r="AO19" i="142" s="1"/>
  <c r="H19" i="142" s="1"/>
  <c r="G12" i="142"/>
  <c r="AO12" i="142"/>
  <c r="F12" i="142"/>
  <c r="C12" i="142"/>
  <c r="AM12" i="142" s="1"/>
  <c r="D12" i="142" s="1"/>
  <c r="G15" i="142"/>
  <c r="AO15" i="142"/>
  <c r="H15" i="142" s="1"/>
  <c r="I8" i="142"/>
  <c r="AP8" i="142"/>
  <c r="J8" i="142" s="1"/>
  <c r="H14" i="142"/>
  <c r="E18" i="142"/>
  <c r="AN18" i="142" s="1"/>
  <c r="F18" i="142" s="1"/>
  <c r="AR14" i="142"/>
  <c r="N14" i="142"/>
  <c r="E9" i="142"/>
  <c r="AN9" i="142" s="1"/>
  <c r="F9" i="142" s="1"/>
  <c r="C11" i="142"/>
  <c r="AM11" i="142" s="1"/>
  <c r="D11" i="142" s="1"/>
  <c r="C13" i="142"/>
  <c r="AM13" i="142"/>
  <c r="D13" i="142"/>
  <c r="E12" i="142"/>
  <c r="AN12" i="142"/>
  <c r="E11" i="142"/>
  <c r="AN11" i="142" s="1"/>
  <c r="F11" i="142" s="1"/>
  <c r="G18" i="142"/>
  <c r="AO18" i="142"/>
  <c r="H18" i="142" s="1"/>
  <c r="G14" i="142"/>
  <c r="AO14" i="142"/>
  <c r="E19" i="142"/>
  <c r="AN19" i="142" s="1"/>
  <c r="F19" i="142" s="1"/>
  <c r="C14" i="142"/>
  <c r="AM14" i="142"/>
  <c r="D14" i="142" s="1"/>
  <c r="G11" i="142"/>
  <c r="AO11" i="142" s="1"/>
  <c r="H11" i="142" s="1"/>
  <c r="G13" i="142"/>
  <c r="AO13" i="142"/>
  <c r="H13" i="142" s="1"/>
  <c r="E10" i="142"/>
  <c r="AN10" i="142"/>
  <c r="F10" i="142" s="1"/>
  <c r="C17" i="142"/>
  <c r="AM17" i="142" s="1"/>
  <c r="D17" i="142" s="1"/>
  <c r="E17" i="142"/>
  <c r="AN17" i="142"/>
  <c r="F17" i="142" s="1"/>
  <c r="G9" i="142"/>
  <c r="AO9" i="142"/>
  <c r="H9" i="142" s="1"/>
  <c r="C10" i="142"/>
  <c r="AM10" i="142"/>
  <c r="D10" i="142" s="1"/>
  <c r="G10" i="142"/>
  <c r="AO10" i="142"/>
  <c r="H10" i="142" s="1"/>
  <c r="E8" i="142"/>
  <c r="AN8" i="142" s="1"/>
  <c r="F8" i="142" s="1"/>
  <c r="AP14" i="142"/>
  <c r="J14" i="142"/>
  <c r="AS14" i="142"/>
  <c r="P14" i="142" s="1"/>
  <c r="AQ10" i="142"/>
  <c r="L10" i="142" s="1"/>
  <c r="AR15" i="142"/>
  <c r="N15" i="142" s="1"/>
  <c r="AS16" i="142"/>
  <c r="P16" i="142" s="1"/>
  <c r="AR13" i="142"/>
  <c r="N13" i="142" s="1"/>
  <c r="AP18" i="142"/>
  <c r="J18" i="142"/>
  <c r="AQ15" i="142"/>
  <c r="L15" i="142" s="1"/>
  <c r="AQ8" i="142"/>
  <c r="L8" i="142" s="1"/>
  <c r="AS11" i="142"/>
  <c r="P11" i="142" s="1"/>
  <c r="AP15" i="142"/>
  <c r="J15" i="142"/>
  <c r="AP17" i="142"/>
  <c r="J17" i="142"/>
  <c r="AR19" i="142"/>
  <c r="N19" i="142" s="1"/>
  <c r="AR12" i="142"/>
  <c r="N12" i="142" s="1"/>
  <c r="AQ13" i="142"/>
  <c r="L13" i="142"/>
  <c r="AQ17" i="142"/>
  <c r="L17" i="142" s="1"/>
  <c r="AR17" i="142"/>
  <c r="N17" i="142" s="1"/>
  <c r="AS8" i="142"/>
  <c r="P8" i="142" s="1"/>
  <c r="AP19" i="142"/>
  <c r="J19" i="142"/>
  <c r="AP13" i="142"/>
  <c r="J13" i="142"/>
  <c r="AP16" i="142"/>
  <c r="J16" i="142" s="1"/>
  <c r="AS13" i="142"/>
  <c r="P13" i="142"/>
  <c r="AQ11" i="142"/>
  <c r="L11" i="142"/>
  <c r="AS12" i="142"/>
  <c r="P12" i="142" s="1"/>
  <c r="AR10" i="142"/>
  <c r="N10" i="142" s="1"/>
  <c r="AR9" i="142"/>
  <c r="N9" i="142" s="1"/>
  <c r="AP10" i="142"/>
  <c r="J10" i="142" s="1"/>
  <c r="AR16" i="142"/>
  <c r="N16" i="142" s="1"/>
  <c r="AQ19" i="142"/>
  <c r="L19" i="142" s="1"/>
  <c r="J12" i="142"/>
  <c r="AP11" i="142"/>
  <c r="J11" i="142"/>
  <c r="AP12" i="142"/>
  <c r="AS15" i="142"/>
  <c r="P15" i="142" s="1"/>
  <c r="AS10" i="142"/>
  <c r="P10" i="142" s="1"/>
  <c r="AQ16" i="142"/>
  <c r="L16" i="142" s="1"/>
  <c r="AS9" i="142"/>
  <c r="P9" i="142"/>
  <c r="AR11" i="142"/>
  <c r="N11" i="142" s="1"/>
  <c r="AR8" i="142"/>
  <c r="N8" i="142" s="1"/>
  <c r="AP9" i="142"/>
  <c r="J9" i="142" s="1"/>
  <c r="AR18" i="142"/>
  <c r="N18" i="142" s="1"/>
  <c r="AS19" i="142"/>
  <c r="P19" i="142" s="1"/>
  <c r="AS18" i="142"/>
  <c r="P18" i="142" s="1"/>
  <c r="AQ14" i="142"/>
  <c r="L14" i="142" s="1"/>
  <c r="AQ9" i="142"/>
  <c r="L9" i="142" s="1"/>
  <c r="AQ12" i="142"/>
  <c r="L12" i="142" s="1"/>
  <c r="AQ18" i="142"/>
  <c r="L18" i="142" s="1"/>
  <c r="AS17" i="142"/>
  <c r="P17" i="142" s="1"/>
</calcChain>
</file>

<file path=xl/sharedStrings.xml><?xml version="1.0" encoding="utf-8"?>
<sst xmlns="http://schemas.openxmlformats.org/spreadsheetml/2006/main" count="291" uniqueCount="110">
  <si>
    <t>CFM</t>
  </si>
  <si>
    <t>Capacity Mbtuh</t>
  </si>
  <si>
    <t>Total</t>
  </si>
  <si>
    <t>Sens.</t>
  </si>
  <si>
    <t>Notes:</t>
  </si>
  <si>
    <r>
      <t xml:space="preserve">Condenser  Entering Air Temperature </t>
    </r>
    <r>
      <rPr>
        <sz val="11"/>
        <color indexed="8"/>
        <rFont val="Calibri"/>
        <family val="2"/>
      </rPr>
      <t>˚F</t>
    </r>
  </si>
  <si>
    <t>† Entering Wet Bulb</t>
  </si>
  <si>
    <t>Extended Ratings</t>
  </si>
  <si>
    <t>(Mbtuh)</t>
  </si>
  <si>
    <r>
      <t>EWB</t>
    </r>
    <r>
      <rPr>
        <sz val="11"/>
        <color indexed="8"/>
        <rFont val="Calibri"/>
        <family val="2"/>
      </rPr>
      <t>†
˚</t>
    </r>
    <r>
      <rPr>
        <sz val="11"/>
        <color theme="1"/>
        <rFont val="Calibri"/>
        <family val="2"/>
        <scheme val="minor"/>
      </rPr>
      <t>F</t>
    </r>
  </si>
  <si>
    <t xml:space="preserve">In order to use this spreadsheet, </t>
  </si>
  <si>
    <t>Please enable Macros in your security settings.</t>
  </si>
  <si>
    <t>Sens. %</t>
  </si>
  <si>
    <t xml:space="preserve">Nominal Capacity:  </t>
  </si>
  <si>
    <t>Extended ratings are not certified.  They are calculated based upon typical condenser performance curves and are for engineering information only.</t>
  </si>
  <si>
    <t xml:space="preserve">ADP Evaporator:  </t>
  </si>
  <si>
    <t>(Mbtuh) @ 95 ˚F &amp; 80/67 ˚F conditions</t>
  </si>
  <si>
    <t>Printed:</t>
  </si>
  <si>
    <t>When the required data fall between the published data, interpolation may be performed. Extrapolation is not an acceptable practice.</t>
  </si>
  <si>
    <t>°F DB</t>
  </si>
  <si>
    <t xml:space="preserve">Evaporator Air 
</t>
  </si>
  <si>
    <t>Enabling Macros in Excel 2007</t>
  </si>
  <si>
    <t>1. In Excel, click the Office button in the upper left corner of the screen.</t>
  </si>
  <si>
    <t>2. Click the "Excel Options" button in the lower right.</t>
  </si>
  <si>
    <t>3. Click the "Trust Center" button on the left. Then, at the bottom right, select "Trust Center Settings" as shown below.</t>
  </si>
  <si>
    <t>4. In the next window, select "Macro Settings," then select the radio button for "Disable all macros with notification."</t>
  </si>
  <si>
    <t>Total Factors</t>
  </si>
  <si>
    <t xml:space="preserve">Condenser Entering Air Temperature: </t>
  </si>
  <si>
    <t>Evaporator Air Flow:</t>
  </si>
  <si>
    <t xml:space="preserve">Entering Evaporator Air (DB):  </t>
  </si>
  <si>
    <t xml:space="preserve">Entering Evaporator Air (WB):  </t>
  </si>
  <si>
    <r>
      <t>(</t>
    </r>
    <r>
      <rPr>
        <sz val="11"/>
        <color indexed="56"/>
        <rFont val="Calibri"/>
        <family val="2"/>
      </rPr>
      <t>°F) Dry Bulb</t>
    </r>
  </si>
  <si>
    <t>CAPACITY IN MBTUH UNDER SPECIFIC CONDITIONS LISTED</t>
  </si>
  <si>
    <t>TOTAL</t>
  </si>
  <si>
    <t>x</t>
  </si>
  <si>
    <t>y</t>
  </si>
  <si>
    <t>n</t>
  </si>
  <si>
    <t>exactly</t>
  </si>
  <si>
    <t>ans</t>
  </si>
  <si>
    <t>err1</t>
  </si>
  <si>
    <t>err2</t>
  </si>
  <si>
    <t>err3</t>
  </si>
  <si>
    <t>sens</t>
  </si>
  <si>
    <r>
      <t>EWB</t>
    </r>
    <r>
      <rPr>
        <sz val="11"/>
        <color indexed="8"/>
        <rFont val="Calibri"/>
        <family val="2"/>
      </rPr>
      <t>†
˚F</t>
    </r>
  </si>
  <si>
    <t xml:space="preserve">Evaporator Air Flow (CFM): </t>
  </si>
  <si>
    <t>to</t>
  </si>
  <si>
    <t xml:space="preserve">  1265 total</t>
  </si>
  <si>
    <t xml:space="preserve">  1265 Sens</t>
  </si>
  <si>
    <t>Diff 1 cfm</t>
  </si>
  <si>
    <t>Diff 200</t>
  </si>
  <si>
    <t>1200 60.6</t>
  </si>
  <si>
    <t>1400 60.6</t>
  </si>
  <si>
    <t>Sens</t>
  </si>
  <si>
    <t>5. When openning this spreadsheet, you will see a warning like this in the menu bar:</t>
  </si>
  <si>
    <t>The information is provided is not certified and is provided for engineering use only.</t>
  </si>
  <si>
    <t>In order to generate an extended rating, you will need the following information:</t>
  </si>
  <si>
    <t>ADP coil model number</t>
  </si>
  <si>
    <t>Nominal capacity</t>
  </si>
  <si>
    <t>Rated capacity (from AHRI database)</t>
  </si>
  <si>
    <t>Indoor entering air dry bulb temperature</t>
  </si>
  <si>
    <t>Indoor entering air wet bulb temperature</t>
  </si>
  <si>
    <t>Indoor airflow</t>
  </si>
  <si>
    <t>Click on "Calculate" to calculate the extended ratings.</t>
  </si>
  <si>
    <t>This spreadsheet generates capacity information for ADP rated matches at other than nominal conditions.</t>
  </si>
  <si>
    <t>Enter the remaining information in the correct cells. Note there are limits on the range of values allowed.</t>
  </si>
  <si>
    <t xml:space="preserve">The table will show capacities for various conditions.  The capacities at the specific design point are </t>
  </si>
  <si>
    <t>at the bottom of the page.</t>
  </si>
  <si>
    <t>From this point you may:</t>
  </si>
  <si>
    <t>Click "Clear" to clear the form and start over.</t>
  </si>
  <si>
    <t>Click "Print" to print a copy of the data.</t>
  </si>
  <si>
    <t>Condenser model number</t>
  </si>
  <si>
    <t>Condenser entering air dry bulb temperature</t>
  </si>
  <si>
    <t>Select the condenser series and nominal tonnage form the drop down lists.</t>
  </si>
  <si>
    <t>SENSIBLE</t>
  </si>
  <si>
    <t>Click "Copy" to copy the data to a new spreadsheet and save it in the same directory.</t>
  </si>
  <si>
    <t>6. Select "Enable this content" and click "Okay".  The spreadsheet will now be functional.</t>
  </si>
  <si>
    <t xml:space="preserve">AHRI Rated Capacity:  </t>
  </si>
  <si>
    <r>
      <t>(</t>
    </r>
    <r>
      <rPr>
        <sz val="11"/>
        <color indexed="8"/>
        <rFont val="Calibri"/>
        <family val="2"/>
      </rPr>
      <t>°F) Dry Bulb -- 80°F Standard</t>
    </r>
  </si>
  <si>
    <t>Versions:</t>
  </si>
  <si>
    <t>Initial public release</t>
  </si>
  <si>
    <r>
      <t>(</t>
    </r>
    <r>
      <rPr>
        <sz val="11"/>
        <color indexed="56"/>
        <rFont val="Calibri"/>
        <family val="2"/>
      </rPr>
      <t>°F) Dry Bulb, 85°F to 115°F</t>
    </r>
  </si>
  <si>
    <r>
      <t>(</t>
    </r>
    <r>
      <rPr>
        <sz val="11"/>
        <color indexed="56"/>
        <rFont val="Calibri"/>
        <family val="2"/>
      </rPr>
      <t>°F) Wet Bulb, 63°F to 71°F</t>
    </r>
  </si>
  <si>
    <t xml:space="preserve">Condenser :  </t>
  </si>
  <si>
    <t>IDB Adj</t>
  </si>
  <si>
    <t>Sens Calc</t>
  </si>
  <si>
    <t>Displayed sensible capacity has been adjusted based upon indoor DB. Sensible capacity will</t>
  </si>
  <si>
    <t xml:space="preserve">increase with higher indoor DB and decrease with lower indoor DB.  The magnitude of the </t>
  </si>
  <si>
    <t>The magnitude of the adjustment depends partially on evaporator air flow, with greater adjustment at higher CFM.</t>
  </si>
  <si>
    <t>adjustment depends partially on evaporator air flow, with greater adjustment at higher CFM.</t>
  </si>
  <si>
    <t>Displayed sensible capacity has been adjusted based upon indoor DB.  Sensible capacity will increase with higher indoor DB and decrease with lower indoor DB.</t>
  </si>
  <si>
    <t>The latest version will allways be available at:  www.adpnow.com/extratings/</t>
  </si>
  <si>
    <r>
      <t>(</t>
    </r>
    <r>
      <rPr>
        <sz val="11"/>
        <color indexed="8"/>
        <rFont val="Calibri"/>
        <family val="2"/>
      </rPr>
      <t>°F) Wet Bulb, 62°F to 72°F</t>
    </r>
  </si>
  <si>
    <t>(°F) Wet Bulb, 62°F to 72°F</t>
  </si>
  <si>
    <t>CSA4BF_60</t>
  </si>
  <si>
    <t>CSA4BF_48</t>
  </si>
  <si>
    <t>CSA4BF_36</t>
  </si>
  <si>
    <t xml:space="preserve">Maytag Condenser :  </t>
  </si>
  <si>
    <t>(°F) Dry Bulb, 65°F to 105°F</t>
  </si>
  <si>
    <t>Second Stage (Boost Speed C5) Cooling</t>
  </si>
  <si>
    <t xml:space="preserve">Select Maytag Condenser:  </t>
  </si>
  <si>
    <r>
      <t>(</t>
    </r>
    <r>
      <rPr>
        <sz val="11"/>
        <color indexed="8"/>
        <rFont val="Calibri"/>
        <family val="2"/>
      </rPr>
      <t>°F) Dry Bulb, 65°F to 105°F</t>
    </r>
  </si>
  <si>
    <t>M-14-A</t>
  </si>
  <si>
    <t>PSH4BG_24F_24</t>
  </si>
  <si>
    <t>PSH4BG</t>
  </si>
  <si>
    <t>M-15-A</t>
  </si>
  <si>
    <t>Renewed date key through 2015</t>
  </si>
  <si>
    <t>M-16-A</t>
  </si>
  <si>
    <t>Renewed date key through 2016</t>
  </si>
  <si>
    <t>M-19-A</t>
  </si>
  <si>
    <t>New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</si>
</sst>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0.000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8"/>
      <color indexed="10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1.65"/>
      <color indexed="63"/>
      <name val="Arial"/>
      <family val="2"/>
    </font>
    <font>
      <b/>
      <sz val="9"/>
      <color indexed="62"/>
      <name val="Arial"/>
      <family val="2"/>
    </font>
    <font>
      <sz val="10"/>
      <name val="Calibri"/>
      <family val="2"/>
    </font>
    <font>
      <sz val="18"/>
      <color indexed="8"/>
      <name val="Arial"/>
      <family val="2"/>
    </font>
    <font>
      <sz val="11"/>
      <color indexed="56"/>
      <name val="Calibri"/>
      <family val="2"/>
    </font>
    <font>
      <sz val="10"/>
      <name val="Aparajita"/>
      <family val="2"/>
    </font>
    <font>
      <sz val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C000"/>
      <name val="Calibri"/>
      <family val="2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ourier New"/>
      <family val="3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7" fillId="5" borderId="1" applyBorder="0" applyAlignment="0" applyProtection="0">
      <alignment horizontal="center" vertical="center"/>
    </xf>
    <xf numFmtId="165" fontId="17" fillId="5" borderId="1" applyBorder="0" applyAlignment="0" applyProtection="0">
      <alignment horizontal="center" vertical="center"/>
    </xf>
    <xf numFmtId="0" fontId="2" fillId="0" borderId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</cellStyleXfs>
  <cellXfs count="208">
    <xf numFmtId="0" fontId="0" fillId="0" borderId="0" xfId="0"/>
    <xf numFmtId="0" fontId="7" fillId="0" borderId="0" xfId="0" applyFont="1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0" fillId="0" borderId="0" xfId="0" quotePrefix="1" applyAlignment="1" applyProtection="1">
      <alignment horizontal="left" indent="3"/>
      <protection locked="0"/>
    </xf>
    <xf numFmtId="0" fontId="0" fillId="0" borderId="0" xfId="0" quotePrefix="1" applyAlignment="1" applyProtection="1">
      <alignment horizontal="left" indent="6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64" fontId="4" fillId="0" borderId="0" xfId="4" applyNumberFormat="1" applyFont="1" applyProtection="1">
      <protection locked="0"/>
    </xf>
    <xf numFmtId="0" fontId="0" fillId="2" borderId="5" xfId="0" applyFont="1" applyFill="1" applyBorder="1" applyProtection="1"/>
    <xf numFmtId="0" fontId="0" fillId="2" borderId="6" xfId="0" applyFont="1" applyFill="1" applyBorder="1" applyProtection="1"/>
    <xf numFmtId="0" fontId="8" fillId="2" borderId="6" xfId="0" applyFont="1" applyFill="1" applyBorder="1" applyAlignment="1" applyProtection="1"/>
    <xf numFmtId="0" fontId="0" fillId="2" borderId="7" xfId="0" applyFont="1" applyFill="1" applyBorder="1" applyProtection="1"/>
    <xf numFmtId="0" fontId="0" fillId="2" borderId="8" xfId="0" applyFont="1" applyFill="1" applyBorder="1" applyProtection="1"/>
    <xf numFmtId="0" fontId="0" fillId="2" borderId="0" xfId="0" applyFont="1" applyFill="1" applyBorder="1" applyProtection="1"/>
    <xf numFmtId="0" fontId="0" fillId="2" borderId="0" xfId="0" applyFill="1" applyBorder="1" applyProtection="1"/>
    <xf numFmtId="0" fontId="0" fillId="2" borderId="9" xfId="0" applyFont="1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9" fillId="2" borderId="0" xfId="0" applyFont="1" applyFill="1" applyBorder="1" applyProtection="1"/>
    <xf numFmtId="0" fontId="0" fillId="0" borderId="10" xfId="0" applyFont="1" applyBorder="1" applyProtection="1"/>
    <xf numFmtId="0" fontId="0" fillId="0" borderId="11" xfId="0" applyBorder="1" applyAlignment="1" applyProtection="1">
      <alignment horizontal="right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Protection="1"/>
    <xf numFmtId="165" fontId="0" fillId="0" borderId="14" xfId="0" applyNumberFormat="1" applyBorder="1" applyProtection="1">
      <protection locked="0"/>
    </xf>
    <xf numFmtId="0" fontId="9" fillId="0" borderId="0" xfId="0" applyFont="1" applyBorder="1" applyProtection="1"/>
    <xf numFmtId="0" fontId="0" fillId="0" borderId="15" xfId="0" applyBorder="1" applyProtection="1"/>
    <xf numFmtId="0" fontId="10" fillId="0" borderId="0" xfId="0" applyFont="1"/>
    <xf numFmtId="0" fontId="11" fillId="0" borderId="0" xfId="0" applyFont="1" applyBorder="1" applyAlignment="1">
      <alignment horizontal="left" indent="1"/>
    </xf>
    <xf numFmtId="0" fontId="0" fillId="0" borderId="0" xfId="0" applyFont="1" applyBorder="1" applyProtection="1">
      <protection locked="0"/>
    </xf>
    <xf numFmtId="0" fontId="0" fillId="0" borderId="0" xfId="0" applyNumberFormat="1" applyFont="1" applyProtection="1">
      <protection hidden="1"/>
    </xf>
    <xf numFmtId="0" fontId="2" fillId="2" borderId="8" xfId="3" applyFill="1" applyBorder="1" applyAlignment="1" applyProtection="1">
      <alignment horizontal="center" vertical="center"/>
    </xf>
    <xf numFmtId="165" fontId="2" fillId="2" borderId="0" xfId="3" applyNumberFormat="1" applyFill="1" applyBorder="1" applyAlignment="1" applyProtection="1">
      <alignment horizontal="center"/>
    </xf>
    <xf numFmtId="165" fontId="2" fillId="2" borderId="9" xfId="3" applyNumberFormat="1" applyFill="1" applyBorder="1" applyAlignment="1" applyProtection="1">
      <alignment horizontal="center"/>
    </xf>
    <xf numFmtId="0" fontId="14" fillId="2" borderId="0" xfId="0" applyFont="1" applyFill="1" applyBorder="1" applyProtection="1"/>
    <xf numFmtId="0" fontId="0" fillId="0" borderId="0" xfId="0" applyNumberFormat="1" applyFont="1" applyProtection="1">
      <protection locked="0"/>
    </xf>
    <xf numFmtId="0" fontId="0" fillId="0" borderId="0" xfId="0" applyNumberFormat="1"/>
    <xf numFmtId="0" fontId="0" fillId="0" borderId="0" xfId="0" applyNumberFormat="1" applyFill="1"/>
    <xf numFmtId="0" fontId="0" fillId="3" borderId="0" xfId="0" applyNumberFormat="1" applyFill="1"/>
    <xf numFmtId="0" fontId="0" fillId="0" borderId="0" xfId="0" quotePrefix="1" applyNumberFormat="1" applyFill="1"/>
    <xf numFmtId="0" fontId="0" fillId="4" borderId="0" xfId="0" applyNumberFormat="1" applyFill="1"/>
    <xf numFmtId="0" fontId="0" fillId="0" borderId="0" xfId="0" applyNumberFormat="1" applyFill="1" applyBorder="1"/>
    <xf numFmtId="0" fontId="0" fillId="0" borderId="0" xfId="0" quotePrefix="1" applyNumberFormat="1" applyFill="1" applyBorder="1"/>
    <xf numFmtId="0" fontId="0" fillId="0" borderId="0" xfId="0" applyNumberFormat="1" applyFill="1" applyBorder="1" applyAlignment="1">
      <alignment horizontal="right"/>
    </xf>
    <xf numFmtId="0" fontId="0" fillId="0" borderId="0" xfId="0" applyFill="1" applyBorder="1"/>
    <xf numFmtId="1" fontId="0" fillId="0" borderId="0" xfId="0" applyNumberFormat="1" applyFill="1"/>
    <xf numFmtId="0" fontId="19" fillId="0" borderId="0" xfId="0" applyFont="1" applyProtection="1">
      <protection locked="0"/>
    </xf>
    <xf numFmtId="0" fontId="2" fillId="6" borderId="0" xfId="3" applyFill="1" applyAlignment="1">
      <alignment horizontal="center" vertical="center"/>
    </xf>
    <xf numFmtId="0" fontId="2" fillId="6" borderId="0" xfId="3" applyFill="1"/>
    <xf numFmtId="0" fontId="0" fillId="6" borderId="13" xfId="0" applyFont="1" applyFill="1" applyBorder="1" applyAlignment="1" applyProtection="1">
      <alignment horizontal="right" vertical="center"/>
    </xf>
    <xf numFmtId="0" fontId="0" fillId="6" borderId="12" xfId="0" applyFill="1" applyBorder="1" applyAlignment="1" applyProtection="1">
      <alignment horizontal="left" vertical="center"/>
    </xf>
    <xf numFmtId="0" fontId="2" fillId="6" borderId="2" xfId="3" applyFill="1" applyBorder="1" applyAlignment="1">
      <alignment horizontal="center"/>
    </xf>
    <xf numFmtId="165" fontId="2" fillId="6" borderId="2" xfId="3" applyNumberFormat="1" applyFill="1" applyBorder="1" applyAlignment="1">
      <alignment horizontal="center"/>
    </xf>
    <xf numFmtId="165" fontId="2" fillId="6" borderId="16" xfId="3" applyNumberFormat="1" applyFill="1" applyBorder="1" applyAlignment="1">
      <alignment horizontal="center"/>
    </xf>
    <xf numFmtId="0" fontId="2" fillId="6" borderId="3" xfId="3" applyFill="1" applyBorder="1" applyAlignment="1">
      <alignment horizontal="center"/>
    </xf>
    <xf numFmtId="165" fontId="2" fillId="6" borderId="3" xfId="3" applyNumberFormat="1" applyFill="1" applyBorder="1" applyAlignment="1">
      <alignment horizontal="center"/>
    </xf>
    <xf numFmtId="165" fontId="2" fillId="6" borderId="17" xfId="3" applyNumberFormat="1" applyFill="1" applyBorder="1" applyAlignment="1">
      <alignment horizontal="center"/>
    </xf>
    <xf numFmtId="165" fontId="2" fillId="6" borderId="18" xfId="3" applyNumberFormat="1" applyFill="1" applyBorder="1" applyAlignment="1">
      <alignment horizontal="center"/>
    </xf>
    <xf numFmtId="165" fontId="2" fillId="6" borderId="19" xfId="3" applyNumberFormat="1" applyFill="1" applyBorder="1" applyAlignment="1">
      <alignment horizontal="center"/>
    </xf>
    <xf numFmtId="0" fontId="2" fillId="6" borderId="4" xfId="3" applyFill="1" applyBorder="1" applyAlignment="1">
      <alignment horizontal="center"/>
    </xf>
    <xf numFmtId="165" fontId="2" fillId="6" borderId="4" xfId="3" applyNumberFormat="1" applyFill="1" applyBorder="1" applyAlignment="1">
      <alignment horizontal="center"/>
    </xf>
    <xf numFmtId="165" fontId="2" fillId="6" borderId="20" xfId="3" applyNumberFormat="1" applyFill="1" applyBorder="1" applyAlignment="1">
      <alignment horizontal="center"/>
    </xf>
    <xf numFmtId="0" fontId="2" fillId="6" borderId="0" xfId="3" applyFill="1" applyBorder="1"/>
    <xf numFmtId="0" fontId="0" fillId="6" borderId="0" xfId="0" applyFont="1" applyFill="1" applyBorder="1" applyProtection="1"/>
    <xf numFmtId="0" fontId="0" fillId="6" borderId="0" xfId="0" applyFill="1" applyBorder="1" applyProtection="1"/>
    <xf numFmtId="0" fontId="2" fillId="6" borderId="0" xfId="3" applyFill="1" applyBorder="1" applyAlignment="1">
      <alignment horizontal="center"/>
    </xf>
    <xf numFmtId="2" fontId="2" fillId="6" borderId="0" xfId="3" applyNumberFormat="1" applyFill="1" applyBorder="1" applyAlignment="1">
      <alignment horizontal="center"/>
    </xf>
    <xf numFmtId="0" fontId="14" fillId="7" borderId="0" xfId="0" applyFont="1" applyFill="1" applyBorder="1" applyProtection="1"/>
    <xf numFmtId="0" fontId="14" fillId="7" borderId="0" xfId="0" applyFont="1" applyFill="1" applyProtection="1"/>
    <xf numFmtId="0" fontId="3" fillId="7" borderId="0" xfId="0" applyFont="1" applyFill="1" applyAlignment="1" applyProtection="1">
      <alignment horizontal="right"/>
    </xf>
    <xf numFmtId="0" fontId="14" fillId="7" borderId="0" xfId="0" applyFont="1" applyFill="1" applyBorder="1" applyAlignment="1" applyProtection="1">
      <alignment horizontal="right"/>
    </xf>
    <xf numFmtId="0" fontId="14" fillId="7" borderId="0" xfId="0" applyFont="1" applyFill="1" applyAlignment="1" applyProtection="1">
      <alignment horizontal="right"/>
    </xf>
    <xf numFmtId="165" fontId="14" fillId="7" borderId="21" xfId="0" applyNumberFormat="1" applyFont="1" applyFill="1" applyBorder="1" applyProtection="1"/>
    <xf numFmtId="165" fontId="14" fillId="7" borderId="14" xfId="0" applyNumberFormat="1" applyFont="1" applyFill="1" applyBorder="1" applyProtection="1"/>
    <xf numFmtId="165" fontId="2" fillId="7" borderId="22" xfId="3" applyNumberFormat="1" applyFill="1" applyBorder="1" applyAlignment="1" applyProtection="1">
      <alignment horizontal="left" vertical="center"/>
    </xf>
    <xf numFmtId="165" fontId="2" fillId="7" borderId="23" xfId="3" applyNumberFormat="1" applyFill="1" applyBorder="1" applyAlignment="1" applyProtection="1">
      <alignment horizontal="center"/>
    </xf>
    <xf numFmtId="165" fontId="2" fillId="7" borderId="24" xfId="3" applyNumberFormat="1" applyFill="1" applyBorder="1" applyAlignment="1" applyProtection="1">
      <alignment horizontal="center"/>
    </xf>
    <xf numFmtId="165" fontId="2" fillId="7" borderId="22" xfId="3" applyNumberFormat="1" applyFill="1" applyBorder="1" applyAlignment="1" applyProtection="1">
      <alignment horizontal="center"/>
    </xf>
    <xf numFmtId="165" fontId="15" fillId="7" borderId="22" xfId="3" applyNumberFormat="1" applyFont="1" applyFill="1" applyBorder="1" applyAlignment="1" applyProtection="1">
      <alignment horizontal="center"/>
    </xf>
    <xf numFmtId="165" fontId="2" fillId="7" borderId="23" xfId="3" applyNumberFormat="1" applyFont="1" applyFill="1" applyBorder="1" applyAlignment="1" applyProtection="1">
      <alignment horizontal="center"/>
    </xf>
    <xf numFmtId="165" fontId="15" fillId="7" borderId="24" xfId="3" applyNumberFormat="1" applyFont="1" applyFill="1" applyBorder="1" applyAlignment="1" applyProtection="1">
      <alignment horizontal="center"/>
    </xf>
    <xf numFmtId="14" fontId="14" fillId="7" borderId="0" xfId="0" applyNumberFormat="1" applyFont="1" applyFill="1" applyBorder="1" applyProtection="1"/>
    <xf numFmtId="165" fontId="0" fillId="0" borderId="13" xfId="0" applyNumberFormat="1" applyFont="1" applyFill="1" applyBorder="1" applyAlignment="1" applyProtection="1">
      <alignment horizontal="right" vertical="center"/>
    </xf>
    <xf numFmtId="0" fontId="0" fillId="0" borderId="12" xfId="0" applyFont="1" applyFill="1" applyBorder="1" applyAlignment="1" applyProtection="1">
      <alignment horizontal="left" vertical="center"/>
    </xf>
    <xf numFmtId="0" fontId="2" fillId="0" borderId="2" xfId="1" applyFont="1" applyFill="1" applyBorder="1" applyAlignment="1" applyProtection="1">
      <alignment horizontal="center"/>
    </xf>
    <xf numFmtId="165" fontId="2" fillId="0" borderId="2" xfId="3" applyNumberFormat="1" applyFont="1" applyFill="1" applyBorder="1" applyAlignment="1" applyProtection="1">
      <alignment horizontal="center"/>
    </xf>
    <xf numFmtId="165" fontId="2" fillId="0" borderId="16" xfId="3" applyNumberFormat="1" applyFont="1" applyFill="1" applyBorder="1" applyAlignment="1" applyProtection="1">
      <alignment horizontal="center"/>
    </xf>
    <xf numFmtId="165" fontId="2" fillId="0" borderId="3" xfId="2" applyFont="1" applyFill="1" applyBorder="1" applyAlignment="1" applyProtection="1">
      <alignment horizontal="center"/>
    </xf>
    <xf numFmtId="0" fontId="2" fillId="0" borderId="3" xfId="1" applyFont="1" applyFill="1" applyBorder="1" applyAlignment="1" applyProtection="1">
      <alignment horizontal="center"/>
    </xf>
    <xf numFmtId="165" fontId="2" fillId="0" borderId="3" xfId="3" applyNumberFormat="1" applyFont="1" applyFill="1" applyBorder="1" applyAlignment="1" applyProtection="1">
      <alignment horizontal="center"/>
    </xf>
    <xf numFmtId="165" fontId="2" fillId="0" borderId="17" xfId="3" applyNumberFormat="1" applyFont="1" applyFill="1" applyBorder="1" applyAlignment="1" applyProtection="1">
      <alignment horizontal="center"/>
    </xf>
    <xf numFmtId="165" fontId="2" fillId="0" borderId="18" xfId="3" applyNumberFormat="1" applyFont="1" applyFill="1" applyBorder="1" applyAlignment="1" applyProtection="1">
      <alignment horizontal="center"/>
    </xf>
    <xf numFmtId="165" fontId="2" fillId="0" borderId="19" xfId="3" applyNumberFormat="1" applyFont="1" applyFill="1" applyBorder="1" applyAlignment="1" applyProtection="1">
      <alignment horizontal="center"/>
    </xf>
    <xf numFmtId="165" fontId="2" fillId="0" borderId="4" xfId="3" applyNumberFormat="1" applyFont="1" applyFill="1" applyBorder="1" applyAlignment="1" applyProtection="1">
      <alignment horizontal="center"/>
    </xf>
    <xf numFmtId="165" fontId="2" fillId="0" borderId="20" xfId="3" applyNumberFormat="1" applyFont="1" applyFill="1" applyBorder="1" applyAlignment="1" applyProtection="1">
      <alignment horizontal="center"/>
    </xf>
    <xf numFmtId="2" fontId="0" fillId="6" borderId="14" xfId="0" applyNumberFormat="1" applyFill="1" applyBorder="1" applyProtection="1">
      <protection locked="0"/>
    </xf>
    <xf numFmtId="2" fontId="0" fillId="8" borderId="21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6" borderId="21" xfId="0" applyNumberFormat="1" applyFont="1" applyFill="1" applyBorder="1" applyProtection="1">
      <protection locked="0"/>
    </xf>
    <xf numFmtId="165" fontId="2" fillId="0" borderId="3" xfId="2" applyNumberFormat="1" applyFont="1" applyFill="1" applyBorder="1" applyAlignment="1" applyProtection="1">
      <alignment horizontal="center"/>
    </xf>
    <xf numFmtId="165" fontId="2" fillId="0" borderId="2" xfId="2" applyNumberFormat="1" applyFont="1" applyFill="1" applyBorder="1" applyAlignment="1" applyProtection="1">
      <alignment horizontal="center"/>
    </xf>
    <xf numFmtId="165" fontId="2" fillId="0" borderId="2" xfId="2" applyFont="1" applyFill="1" applyBorder="1" applyAlignment="1" applyProtection="1">
      <alignment horizontal="center"/>
    </xf>
    <xf numFmtId="165" fontId="2" fillId="0" borderId="4" xfId="2" applyFont="1" applyFill="1" applyBorder="1" applyAlignment="1" applyProtection="1">
      <alignment horizontal="center"/>
    </xf>
    <xf numFmtId="165" fontId="2" fillId="0" borderId="18" xfId="2" applyFont="1" applyFill="1" applyBorder="1" applyAlignment="1" applyProtection="1">
      <alignment horizontal="center"/>
    </xf>
    <xf numFmtId="1" fontId="0" fillId="0" borderId="0" xfId="0" applyNumberFormat="1" applyFont="1" applyProtection="1">
      <protection locked="0"/>
    </xf>
    <xf numFmtId="166" fontId="0" fillId="0" borderId="0" xfId="0" applyNumberFormat="1"/>
    <xf numFmtId="165" fontId="2" fillId="0" borderId="17" xfId="2" applyFont="1" applyFill="1" applyBorder="1" applyAlignment="1" applyProtection="1">
      <alignment horizontal="center"/>
    </xf>
    <xf numFmtId="165" fontId="2" fillId="0" borderId="19" xfId="2" applyFont="1" applyFill="1" applyBorder="1" applyAlignment="1" applyProtection="1">
      <alignment horizontal="center"/>
    </xf>
    <xf numFmtId="165" fontId="2" fillId="0" borderId="16" xfId="2" applyFont="1" applyFill="1" applyBorder="1" applyAlignment="1" applyProtection="1">
      <alignment horizontal="center"/>
    </xf>
    <xf numFmtId="0" fontId="22" fillId="11" borderId="0" xfId="0" applyFont="1" applyFill="1"/>
    <xf numFmtId="0" fontId="0" fillId="0" borderId="0" xfId="0" applyAlignment="1">
      <alignment horizontal="right"/>
    </xf>
    <xf numFmtId="0" fontId="0" fillId="12" borderId="0" xfId="0" applyFill="1" applyAlignment="1">
      <alignment horizontal="right"/>
    </xf>
    <xf numFmtId="0" fontId="0" fillId="12" borderId="0" xfId="0" applyFill="1"/>
    <xf numFmtId="0" fontId="0" fillId="10" borderId="0" xfId="0" applyFill="1"/>
    <xf numFmtId="0" fontId="0" fillId="10" borderId="0" xfId="0" applyFill="1" applyAlignment="1">
      <alignment horizontal="right"/>
    </xf>
    <xf numFmtId="0" fontId="0" fillId="13" borderId="0" xfId="0" quotePrefix="1" applyFill="1" applyAlignment="1">
      <alignment horizontal="right"/>
    </xf>
    <xf numFmtId="0" fontId="22" fillId="14" borderId="0" xfId="0" applyFont="1" applyFill="1"/>
    <xf numFmtId="0" fontId="0" fillId="14" borderId="0" xfId="0" quotePrefix="1" applyFill="1" applyAlignment="1">
      <alignment horizontal="left"/>
    </xf>
    <xf numFmtId="165" fontId="0" fillId="13" borderId="0" xfId="0" applyNumberFormat="1" applyFill="1" applyAlignment="1">
      <alignment horizontal="left"/>
    </xf>
    <xf numFmtId="0" fontId="20" fillId="9" borderId="8" xfId="0" applyFont="1" applyFill="1" applyBorder="1" applyProtection="1"/>
    <xf numFmtId="0" fontId="0" fillId="0" borderId="8" xfId="0" applyFont="1" applyBorder="1" applyProtection="1">
      <protection locked="0"/>
    </xf>
    <xf numFmtId="165" fontId="17" fillId="0" borderId="0" xfId="2" applyFill="1" applyBorder="1" applyAlignment="1" applyProtection="1">
      <alignment horizontal="center"/>
    </xf>
    <xf numFmtId="0" fontId="3" fillId="7" borderId="0" xfId="0" applyFont="1" applyFill="1" applyBorder="1" applyAlignment="1" applyProtection="1">
      <alignment horizontal="right"/>
    </xf>
    <xf numFmtId="0" fontId="23" fillId="0" borderId="0" xfId="0" applyFont="1" applyBorder="1" applyProtection="1">
      <protection locked="0"/>
    </xf>
    <xf numFmtId="0" fontId="23" fillId="0" borderId="0" xfId="0" applyFont="1" applyBorder="1" applyProtection="1"/>
    <xf numFmtId="0" fontId="0" fillId="0" borderId="0" xfId="0" applyFont="1" applyBorder="1" applyProtection="1"/>
    <xf numFmtId="0" fontId="0" fillId="0" borderId="0" xfId="0" applyProtection="1"/>
    <xf numFmtId="0" fontId="2" fillId="0" borderId="4" xfId="1" applyFont="1" applyFill="1" applyBorder="1" applyAlignment="1" applyProtection="1">
      <alignment horizontal="center"/>
    </xf>
    <xf numFmtId="0" fontId="0" fillId="0" borderId="5" xfId="0" applyBorder="1" applyProtection="1"/>
    <xf numFmtId="0" fontId="0" fillId="0" borderId="0" xfId="0" applyAlignment="1" applyProtection="1">
      <alignment horizontal="righ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14" fontId="11" fillId="0" borderId="0" xfId="0" applyNumberFormat="1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/>
    </xf>
    <xf numFmtId="0" fontId="3" fillId="7" borderId="0" xfId="0" applyFont="1" applyFill="1" applyBorder="1" applyProtection="1"/>
    <xf numFmtId="0" fontId="3" fillId="7" borderId="0" xfId="0" applyFont="1" applyFill="1" applyProtection="1"/>
    <xf numFmtId="165" fontId="2" fillId="6" borderId="0" xfId="3" applyNumberFormat="1" applyFill="1"/>
    <xf numFmtId="165" fontId="2" fillId="0" borderId="3" xfId="3" applyNumberFormat="1" applyFill="1" applyBorder="1" applyAlignment="1">
      <alignment horizontal="center"/>
    </xf>
    <xf numFmtId="0" fontId="2" fillId="0" borderId="2" xfId="1" applyNumberFormat="1" applyFont="1" applyFill="1" applyBorder="1" applyAlignment="1" applyProtection="1">
      <alignment horizontal="center"/>
    </xf>
    <xf numFmtId="0" fontId="2" fillId="0" borderId="3" xfId="1" applyNumberFormat="1" applyFont="1" applyFill="1" applyBorder="1" applyAlignment="1" applyProtection="1">
      <alignment horizontal="center"/>
    </xf>
    <xf numFmtId="0" fontId="2" fillId="0" borderId="4" xfId="1" applyNumberFormat="1" applyFont="1" applyFill="1" applyBorder="1" applyAlignment="1" applyProtection="1">
      <alignment horizontal="center"/>
    </xf>
    <xf numFmtId="0" fontId="2" fillId="0" borderId="3" xfId="2" applyNumberFormat="1" applyFont="1" applyFill="1" applyBorder="1" applyAlignment="1" applyProtection="1">
      <alignment horizontal="center"/>
    </xf>
    <xf numFmtId="0" fontId="0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 wrapText="1"/>
    </xf>
    <xf numFmtId="0" fontId="24" fillId="0" borderId="0" xfId="6" applyFont="1" applyAlignment="1">
      <alignment vertical="center" wrapText="1"/>
    </xf>
    <xf numFmtId="9" fontId="24" fillId="0" borderId="0" xfId="5" applyFont="1" applyAlignment="1">
      <alignment vertical="center" wrapText="1"/>
    </xf>
    <xf numFmtId="166" fontId="24" fillId="0" borderId="0" xfId="6" applyNumberFormat="1" applyFont="1" applyAlignment="1">
      <alignment vertical="center" wrapText="1"/>
    </xf>
    <xf numFmtId="0" fontId="3" fillId="7" borderId="22" xfId="0" applyFont="1" applyFill="1" applyBorder="1" applyAlignment="1" applyProtection="1">
      <alignment horizontal="center"/>
    </xf>
    <xf numFmtId="0" fontId="14" fillId="7" borderId="23" xfId="0" applyFont="1" applyFill="1" applyBorder="1" applyAlignment="1" applyProtection="1">
      <alignment horizontal="center"/>
    </xf>
    <xf numFmtId="0" fontId="14" fillId="7" borderId="24" xfId="0" applyFont="1" applyFill="1" applyBorder="1" applyAlignment="1" applyProtection="1">
      <alignment horizontal="center"/>
    </xf>
    <xf numFmtId="0" fontId="14" fillId="7" borderId="22" xfId="0" applyFont="1" applyFill="1" applyBorder="1" applyAlignment="1" applyProtection="1">
      <alignment horizontal="center"/>
    </xf>
    <xf numFmtId="0" fontId="0" fillId="6" borderId="5" xfId="0" applyFill="1" applyBorder="1" applyAlignment="1" applyProtection="1">
      <alignment horizontal="center" vertical="center" wrapText="1"/>
    </xf>
    <xf numFmtId="0" fontId="0" fillId="6" borderId="28" xfId="0" applyFill="1" applyBorder="1" applyAlignment="1" applyProtection="1">
      <alignment horizontal="center" vertical="center" wrapText="1"/>
    </xf>
    <xf numFmtId="0" fontId="0" fillId="6" borderId="27" xfId="0" applyFont="1" applyFill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0" fontId="21" fillId="6" borderId="3" xfId="0" applyFont="1" applyFill="1" applyBorder="1" applyAlignment="1">
      <alignment horizontal="center" vertical="center"/>
    </xf>
    <xf numFmtId="0" fontId="21" fillId="6" borderId="17" xfId="0" applyFont="1" applyFill="1" applyBorder="1" applyAlignment="1">
      <alignment horizontal="center" vertical="center"/>
    </xf>
    <xf numFmtId="0" fontId="21" fillId="6" borderId="18" xfId="0" applyFont="1" applyFill="1" applyBorder="1" applyAlignment="1">
      <alignment horizontal="center" vertical="center"/>
    </xf>
    <xf numFmtId="0" fontId="21" fillId="6" borderId="30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0" fontId="21" fillId="6" borderId="19" xfId="0" applyFont="1" applyFill="1" applyBorder="1" applyAlignment="1">
      <alignment horizontal="center" vertical="center"/>
    </xf>
    <xf numFmtId="0" fontId="2" fillId="6" borderId="1" xfId="3" applyFill="1" applyBorder="1" applyAlignment="1">
      <alignment horizontal="center" vertical="center"/>
    </xf>
    <xf numFmtId="0" fontId="2" fillId="6" borderId="25" xfId="3" applyFill="1" applyBorder="1" applyAlignment="1">
      <alignment horizontal="center" vertical="center"/>
    </xf>
    <xf numFmtId="0" fontId="2" fillId="6" borderId="26" xfId="3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/>
    </xf>
    <xf numFmtId="0" fontId="21" fillId="6" borderId="0" xfId="0" applyFont="1" applyFill="1" applyBorder="1" applyAlignment="1">
      <alignment horizontal="center" vertical="center"/>
    </xf>
    <xf numFmtId="0" fontId="2" fillId="6" borderId="0" xfId="3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 wrapText="1"/>
    </xf>
    <xf numFmtId="0" fontId="0" fillId="8" borderId="22" xfId="0" applyFill="1" applyBorder="1" applyAlignment="1" applyProtection="1">
      <alignment horizontal="center"/>
      <protection locked="0"/>
    </xf>
    <xf numFmtId="0" fontId="0" fillId="8" borderId="23" xfId="0" applyFill="1" applyBorder="1"/>
    <xf numFmtId="0" fontId="0" fillId="8" borderId="24" xfId="0" applyFill="1" applyBorder="1"/>
    <xf numFmtId="0" fontId="0" fillId="0" borderId="22" xfId="0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/>
    </xf>
    <xf numFmtId="0" fontId="13" fillId="2" borderId="9" xfId="0" applyFont="1" applyFill="1" applyBorder="1" applyAlignment="1" applyProtection="1">
      <alignment horizont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17" xfId="1" applyFont="1" applyFill="1" applyBorder="1" applyAlignment="1" applyProtection="1">
      <alignment horizontal="center" vertical="center"/>
    </xf>
    <xf numFmtId="0" fontId="2" fillId="0" borderId="31" xfId="1" applyFont="1" applyFill="1" applyBorder="1" applyAlignment="1" applyProtection="1">
      <alignment horizontal="center" vertical="center"/>
    </xf>
    <xf numFmtId="0" fontId="0" fillId="0" borderId="27" xfId="0" applyFont="1" applyFill="1" applyBorder="1" applyAlignment="1" applyProtection="1">
      <alignment horizontal="center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center"/>
    </xf>
    <xf numFmtId="0" fontId="0" fillId="0" borderId="5" xfId="0" applyFont="1" applyFill="1" applyBorder="1" applyAlignment="1" applyProtection="1">
      <alignment horizontal="center" vertical="center" wrapText="1"/>
    </xf>
    <xf numFmtId="0" fontId="0" fillId="0" borderId="28" xfId="0" applyFont="1" applyFill="1" applyBorder="1" applyAlignment="1" applyProtection="1">
      <alignment horizontal="center" vertical="center" wrapText="1"/>
    </xf>
    <xf numFmtId="14" fontId="0" fillId="0" borderId="10" xfId="0" applyNumberFormat="1" applyFont="1" applyBorder="1" applyAlignment="1" applyProtection="1">
      <alignment horizontal="left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18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</xf>
    <xf numFmtId="165" fontId="2" fillId="2" borderId="6" xfId="3" applyNumberForma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25" xfId="1" applyFont="1" applyFill="1" applyBorder="1" applyAlignment="1" applyProtection="1">
      <alignment horizontal="center" vertical="center"/>
    </xf>
    <xf numFmtId="0" fontId="2" fillId="0" borderId="26" xfId="1" applyFont="1" applyFill="1" applyBorder="1" applyAlignment="1" applyProtection="1">
      <alignment horizontal="center" vertical="center"/>
    </xf>
    <xf numFmtId="0" fontId="12" fillId="0" borderId="31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horizontal="center" vertical="center"/>
    </xf>
    <xf numFmtId="0" fontId="12" fillId="0" borderId="20" xfId="0" applyFont="1" applyFill="1" applyBorder="1" applyAlignment="1" applyProtection="1">
      <alignment horizontal="center" vertical="center"/>
    </xf>
  </cellXfs>
  <cellStyles count="8">
    <cellStyle name="HLdata" xfId="1"/>
    <cellStyle name="HLdata2" xfId="2"/>
    <cellStyle name="Normal" xfId="0" builtinId="0"/>
    <cellStyle name="Normal 2" xfId="3"/>
    <cellStyle name="Normal 2 2" xfId="6"/>
    <cellStyle name="Normal 2 3" xfId="7"/>
    <cellStyle name="Percent" xfId="4" builtinId="5"/>
    <cellStyle name="Percent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12</xdr:row>
      <xdr:rowOff>47625</xdr:rowOff>
    </xdr:from>
    <xdr:to>
      <xdr:col>3</xdr:col>
      <xdr:colOff>447675</xdr:colOff>
      <xdr:row>15</xdr:row>
      <xdr:rowOff>66675</xdr:rowOff>
    </xdr:to>
    <xdr:pic>
      <xdr:nvPicPr>
        <xdr:cNvPr id="1906" name="Picture 2" descr="ADP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400300"/>
          <a:ext cx="24003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7</xdr:row>
      <xdr:rowOff>28575</xdr:rowOff>
    </xdr:from>
    <xdr:to>
      <xdr:col>12</xdr:col>
      <xdr:colOff>304800</xdr:colOff>
      <xdr:row>11</xdr:row>
      <xdr:rowOff>57150</xdr:rowOff>
    </xdr:to>
    <xdr:sp macro="" textlink="">
      <xdr:nvSpPr>
        <xdr:cNvPr id="4" name="TextBox 3"/>
        <xdr:cNvSpPr txBox="1"/>
      </xdr:nvSpPr>
      <xdr:spPr>
        <a:xfrm>
          <a:off x="5715000" y="1419225"/>
          <a:ext cx="2133600" cy="790575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100"/>
            <a:t>For use by ADP Customers only.</a:t>
          </a:r>
        </a:p>
        <a:p>
          <a:pPr algn="ctr"/>
          <a:r>
            <a:rPr lang="en-US" sz="1100"/>
            <a:t>Copyright 2010-2016</a:t>
          </a:r>
        </a:p>
        <a:p>
          <a:pPr algn="ctr"/>
          <a:r>
            <a:rPr lang="en-US" sz="1100"/>
            <a:t>Version M-19-A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</xdr:row>
          <xdr:rowOff>161925</xdr:rowOff>
        </xdr:from>
        <xdr:to>
          <xdr:col>4</xdr:col>
          <xdr:colOff>104775</xdr:colOff>
          <xdr:row>8</xdr:row>
          <xdr:rowOff>47625</xdr:rowOff>
        </xdr:to>
        <xdr:sp macro="" textlink="">
          <xdr:nvSpPr>
            <xdr:cNvPr id="1363" name="cmd_Calc" hidden="1">
              <a:extLst>
                <a:ext uri="{63B3BB69-23CF-44E3-9099-C40C66FF867C}">
                  <a14:compatExt spid="_x0000_s1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8</xdr:row>
          <xdr:rowOff>95250</xdr:rowOff>
        </xdr:from>
        <xdr:to>
          <xdr:col>4</xdr:col>
          <xdr:colOff>104775</xdr:colOff>
          <xdr:row>9</xdr:row>
          <xdr:rowOff>171450</xdr:rowOff>
        </xdr:to>
        <xdr:sp macro="" textlink="">
          <xdr:nvSpPr>
            <xdr:cNvPr id="1430" name="cmd_Print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10</xdr:row>
          <xdr:rowOff>28575</xdr:rowOff>
        </xdr:from>
        <xdr:to>
          <xdr:col>4</xdr:col>
          <xdr:colOff>104775</xdr:colOff>
          <xdr:row>11</xdr:row>
          <xdr:rowOff>104775</xdr:rowOff>
        </xdr:to>
        <xdr:sp macro="" textlink="">
          <xdr:nvSpPr>
            <xdr:cNvPr id="1453" name="cmd_Clear" hidden="1">
              <a:extLst>
                <a:ext uri="{63B3BB69-23CF-44E3-9099-C40C66FF867C}">
                  <a14:compatExt spid="_x0000_s1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8</xdr:row>
          <xdr:rowOff>95250</xdr:rowOff>
        </xdr:from>
        <xdr:to>
          <xdr:col>5</xdr:col>
          <xdr:colOff>180975</xdr:colOff>
          <xdr:row>9</xdr:row>
          <xdr:rowOff>171450</xdr:rowOff>
        </xdr:to>
        <xdr:sp macro="" textlink="">
          <xdr:nvSpPr>
            <xdr:cNvPr id="1455" name="cmd_Copy" hidden="1">
              <a:extLst>
                <a:ext uri="{63B3BB69-23CF-44E3-9099-C40C66FF867C}">
                  <a14:compatExt spid="_x0000_s1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4</xdr:col>
      <xdr:colOff>438150</xdr:colOff>
      <xdr:row>4</xdr:row>
      <xdr:rowOff>28575</xdr:rowOff>
    </xdr:to>
    <xdr:pic>
      <xdr:nvPicPr>
        <xdr:cNvPr id="2" name="Picture 2" descr="ADP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95250"/>
          <a:ext cx="24003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4</xdr:col>
      <xdr:colOff>571500</xdr:colOff>
      <xdr:row>4</xdr:row>
      <xdr:rowOff>28575</xdr:rowOff>
    </xdr:to>
    <xdr:pic>
      <xdr:nvPicPr>
        <xdr:cNvPr id="2236" name="Picture 2" descr="ADP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95250"/>
          <a:ext cx="24003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276225</xdr:colOff>
      <xdr:row>14</xdr:row>
      <xdr:rowOff>38100</xdr:rowOff>
    </xdr:from>
    <xdr:to>
      <xdr:col>8</xdr:col>
      <xdr:colOff>200025</xdr:colOff>
      <xdr:row>15</xdr:row>
      <xdr:rowOff>180975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/>
        <a:srcRect/>
        <a:stretch>
          <a:fillRect/>
        </a:stretch>
      </xdr:blipFill>
      <xdr:spPr bwMode="auto">
        <a:xfrm>
          <a:off x="885825" y="3028950"/>
          <a:ext cx="4191000" cy="3333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323850</xdr:colOff>
      <xdr:row>17</xdr:row>
      <xdr:rowOff>85725</xdr:rowOff>
    </xdr:from>
    <xdr:to>
      <xdr:col>7</xdr:col>
      <xdr:colOff>161925</xdr:colOff>
      <xdr:row>33</xdr:row>
      <xdr:rowOff>142578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/>
        <a:srcRect/>
        <a:stretch>
          <a:fillRect/>
        </a:stretch>
      </xdr:blipFill>
      <xdr:spPr bwMode="auto">
        <a:xfrm>
          <a:off x="933450" y="3648075"/>
          <a:ext cx="3495675" cy="310485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U79"/>
  <sheetViews>
    <sheetView workbookViewId="0">
      <selection activeCell="A19" sqref="A19"/>
    </sheetView>
  </sheetViews>
  <sheetFormatPr defaultRowHeight="15" x14ac:dyDescent="0.25"/>
  <cols>
    <col min="1" max="4" width="9.140625" style="37"/>
    <col min="5" max="5" width="10.85546875" style="37" customWidth="1"/>
    <col min="6" max="6" width="11.7109375" style="37" customWidth="1"/>
    <col min="7" max="11" width="9.140625" style="37"/>
    <col min="12" max="12" width="10.85546875" style="37" customWidth="1"/>
    <col min="13" max="16384" width="9.140625" style="37"/>
  </cols>
  <sheetData>
    <row r="2" spans="1:21" x14ac:dyDescent="0.25">
      <c r="B2" s="31"/>
      <c r="C2" s="36"/>
      <c r="H2" s="37">
        <f>SUM(H3:H8)</f>
        <v>0</v>
      </c>
    </row>
    <row r="3" spans="1:21" x14ac:dyDescent="0.25">
      <c r="C3" s="36">
        <v>600</v>
      </c>
      <c r="D3" s="31">
        <v>24</v>
      </c>
      <c r="E3" s="37">
        <v>600</v>
      </c>
      <c r="F3" s="37">
        <v>1000</v>
      </c>
      <c r="G3" s="37">
        <f>IF(Form!$D$4=D3,1,0)</f>
        <v>0</v>
      </c>
      <c r="H3" s="37">
        <f>IF(G3=1,IF(OR(E3&gt;Form!M$5,F3&lt;Form!M$5),1,0),0)</f>
        <v>0</v>
      </c>
    </row>
    <row r="4" spans="1:21" x14ac:dyDescent="0.25">
      <c r="C4" s="36">
        <v>800</v>
      </c>
      <c r="D4" s="31">
        <v>30</v>
      </c>
      <c r="E4" s="37">
        <v>800</v>
      </c>
      <c r="F4" s="37">
        <v>1200</v>
      </c>
      <c r="G4" s="37">
        <f>IF(Form!$D$4=D4,1,0)</f>
        <v>0</v>
      </c>
      <c r="H4" s="37">
        <f>IF(G4=1,IF(OR(E4&gt;Form!M$5,F4&lt;Form!M$5),1,0),0)</f>
        <v>0</v>
      </c>
    </row>
    <row r="5" spans="1:21" x14ac:dyDescent="0.25">
      <c r="C5" s="36">
        <v>1000</v>
      </c>
      <c r="D5" s="31">
        <v>36</v>
      </c>
      <c r="E5" s="37">
        <v>1000</v>
      </c>
      <c r="F5" s="37">
        <v>1400</v>
      </c>
      <c r="G5" s="37">
        <f>IF(Form!$D$4=D5,1,0)</f>
        <v>0</v>
      </c>
      <c r="H5" s="37">
        <f>IF(G5=1,IF(OR(E5&gt;Form!M$5,F5&lt;Form!M$5),1,0),0)</f>
        <v>0</v>
      </c>
    </row>
    <row r="6" spans="1:21" x14ac:dyDescent="0.25">
      <c r="C6" s="36">
        <v>1200</v>
      </c>
      <c r="D6" s="31">
        <v>42</v>
      </c>
      <c r="E6" s="37">
        <v>1200</v>
      </c>
      <c r="F6" s="37">
        <v>1600</v>
      </c>
      <c r="G6" s="37">
        <f>IF(Form!$D$4=D6,1,0)</f>
        <v>0</v>
      </c>
      <c r="H6" s="37">
        <f>IF(G6=1,IF(OR(E6&gt;Form!M$5,F6&lt;Form!M$5),1,0),0)</f>
        <v>0</v>
      </c>
    </row>
    <row r="7" spans="1:21" x14ac:dyDescent="0.25">
      <c r="C7" s="36">
        <v>1400</v>
      </c>
      <c r="D7" s="31">
        <v>48</v>
      </c>
      <c r="E7" s="37">
        <v>1400</v>
      </c>
      <c r="F7" s="37">
        <v>1800</v>
      </c>
      <c r="G7" s="37">
        <f>IF(Form!$D$4=D7,1,0)</f>
        <v>0</v>
      </c>
      <c r="H7" s="37">
        <f>IF(G7=1,IF(OR(E7&gt;Form!M$5,F7&lt;Form!M$5),1,0),0)</f>
        <v>0</v>
      </c>
    </row>
    <row r="8" spans="1:21" x14ac:dyDescent="0.25">
      <c r="C8" s="36">
        <v>1600</v>
      </c>
      <c r="D8" s="31">
        <v>60</v>
      </c>
      <c r="E8" s="37">
        <v>1600</v>
      </c>
      <c r="F8" s="37">
        <v>2000</v>
      </c>
      <c r="G8" s="37">
        <f>IF(Form!$D$4=D8,1,0)</f>
        <v>0</v>
      </c>
      <c r="H8" s="37">
        <f>IF(G8=1,IF(OR(E8&gt;Form!M$5,F8&lt;Form!M$5),1,0),0)</f>
        <v>0</v>
      </c>
    </row>
    <row r="9" spans="1:21" x14ac:dyDescent="0.25">
      <c r="B9" s="36"/>
      <c r="C9" s="36">
        <v>1800</v>
      </c>
    </row>
    <row r="10" spans="1:21" x14ac:dyDescent="0.25">
      <c r="B10" s="36"/>
      <c r="C10" s="36">
        <v>2000</v>
      </c>
    </row>
    <row r="12" spans="1:21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</row>
    <row r="13" spans="1:21" x14ac:dyDescent="0.25">
      <c r="A13" s="38"/>
      <c r="B13" s="38"/>
      <c r="C13" s="38"/>
      <c r="D13" s="38" t="s">
        <v>2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</row>
    <row r="14" spans="1:21" x14ac:dyDescent="0.25">
      <c r="A14" s="38"/>
      <c r="B14" s="46">
        <f>Form!M5+Form!M6</f>
        <v>0</v>
      </c>
      <c r="C14" s="38"/>
      <c r="D14" s="38"/>
      <c r="E14" s="38">
        <f>E31</f>
        <v>0</v>
      </c>
      <c r="F14" s="38">
        <f t="shared" ref="F14:K14" si="0">F31</f>
        <v>0</v>
      </c>
      <c r="G14" s="38">
        <f t="shared" si="0"/>
        <v>0</v>
      </c>
      <c r="H14" s="38">
        <f t="shared" si="0"/>
        <v>0</v>
      </c>
      <c r="I14" s="38">
        <f t="shared" si="0"/>
        <v>0</v>
      </c>
      <c r="J14" s="38">
        <f t="shared" si="0"/>
        <v>0</v>
      </c>
      <c r="K14" s="38">
        <f t="shared" si="0"/>
        <v>0</v>
      </c>
      <c r="L14" s="38">
        <f>SUM(E14:K14)</f>
        <v>0</v>
      </c>
      <c r="M14" s="38"/>
      <c r="N14" s="38"/>
      <c r="O14" s="38"/>
      <c r="P14" s="38">
        <v>58</v>
      </c>
      <c r="Q14" s="38"/>
      <c r="R14" s="38"/>
      <c r="S14" s="38"/>
      <c r="T14" s="38"/>
      <c r="U14" s="38"/>
    </row>
    <row r="15" spans="1:21" x14ac:dyDescent="0.25">
      <c r="A15" s="38"/>
      <c r="B15" s="38"/>
      <c r="C15" s="38"/>
      <c r="D15" s="38"/>
      <c r="E15" s="38">
        <f>Form!C27</f>
        <v>65</v>
      </c>
      <c r="F15" s="38">
        <f>Form!E27</f>
        <v>75</v>
      </c>
      <c r="G15" s="38">
        <f>Form!G27</f>
        <v>80</v>
      </c>
      <c r="H15" s="38">
        <f>Form!I27</f>
        <v>85</v>
      </c>
      <c r="I15" s="38">
        <f>Form!K27</f>
        <v>90</v>
      </c>
      <c r="J15" s="38">
        <f>Form!M27</f>
        <v>95</v>
      </c>
      <c r="K15" s="38">
        <f>Form!O27</f>
        <v>105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</row>
    <row r="16" spans="1:21" x14ac:dyDescent="0.25">
      <c r="A16" s="38">
        <f>C16+D16</f>
        <v>0</v>
      </c>
      <c r="B16" s="38">
        <f>P16</f>
        <v>0</v>
      </c>
      <c r="C16" s="38">
        <f>Form!A31</f>
        <v>0</v>
      </c>
      <c r="D16" s="38">
        <f>Form!B31</f>
        <v>0</v>
      </c>
      <c r="E16" s="38">
        <f>Form!C31</f>
        <v>0</v>
      </c>
      <c r="F16" s="38">
        <f>Form!E31</f>
        <v>0</v>
      </c>
      <c r="G16" s="38">
        <f>Form!G31</f>
        <v>0</v>
      </c>
      <c r="H16" s="38">
        <f>Form!I31</f>
        <v>0</v>
      </c>
      <c r="I16" s="38">
        <f>Form!K31</f>
        <v>0</v>
      </c>
      <c r="J16" s="38">
        <f>Form!M31</f>
        <v>0</v>
      </c>
      <c r="K16" s="38">
        <f>Form!O31</f>
        <v>0</v>
      </c>
      <c r="L16" s="46">
        <f>Form!$M$5+Form!M$6</f>
        <v>0</v>
      </c>
      <c r="M16" s="38">
        <f>IF(C16+D16=Form!M$5+Form!M$6,1,0)</f>
        <v>1</v>
      </c>
      <c r="N16" s="38">
        <f>IF(A16&lt;L16,1,0)</f>
        <v>0</v>
      </c>
      <c r="O16" s="38">
        <f>IF(A16&gt;L16,2,0)</f>
        <v>0</v>
      </c>
      <c r="P16" s="38">
        <f>IF(AND(N16=1,N17=0),1,0)+IF(AND(O15=0,O16=2),2,0)</f>
        <v>0</v>
      </c>
      <c r="Q16" s="38"/>
      <c r="R16" s="38"/>
      <c r="S16" s="38"/>
      <c r="T16" s="38"/>
      <c r="U16" s="38"/>
    </row>
    <row r="17" spans="1:21" x14ac:dyDescent="0.25">
      <c r="A17" s="38">
        <f t="shared" ref="A17:A28" si="1">C17+D17</f>
        <v>0</v>
      </c>
      <c r="B17" s="38">
        <f t="shared" ref="B17:B27" si="2">P17</f>
        <v>0</v>
      </c>
      <c r="C17" s="38">
        <f>C16</f>
        <v>0</v>
      </c>
      <c r="D17" s="38">
        <f>Form!B32</f>
        <v>0</v>
      </c>
      <c r="E17" s="38">
        <f>Form!C32</f>
        <v>0</v>
      </c>
      <c r="F17" s="38">
        <f>Form!E32</f>
        <v>0</v>
      </c>
      <c r="G17" s="38">
        <f>Form!G32</f>
        <v>0</v>
      </c>
      <c r="H17" s="38">
        <f>Form!I32</f>
        <v>0</v>
      </c>
      <c r="I17" s="38">
        <f>Form!K32</f>
        <v>0</v>
      </c>
      <c r="J17" s="38">
        <f>Form!M32</f>
        <v>0</v>
      </c>
      <c r="K17" s="38">
        <f>Form!O32</f>
        <v>0</v>
      </c>
      <c r="L17" s="46">
        <f>Form!$M$5+Form!M$6</f>
        <v>0</v>
      </c>
      <c r="M17" s="38">
        <f>IF(C17+D17=Form!M$5+Form!M$6,1,0)</f>
        <v>1</v>
      </c>
      <c r="N17" s="38">
        <f t="shared" ref="N17:N27" si="3">IF(A17&lt;L17,1,0)</f>
        <v>0</v>
      </c>
      <c r="O17" s="38">
        <f>IF(A17&gt;L17,2,0)</f>
        <v>0</v>
      </c>
      <c r="P17" s="38">
        <f>IF(AND(N17=1,N18=0),1,0)+IF(AND(O16=0,O17=2),2,0)</f>
        <v>0</v>
      </c>
      <c r="Q17" s="38"/>
      <c r="R17" s="38"/>
      <c r="S17" s="38"/>
      <c r="T17" s="38"/>
      <c r="U17" s="38"/>
    </row>
    <row r="18" spans="1:21" x14ac:dyDescent="0.25">
      <c r="A18" s="38">
        <f t="shared" si="1"/>
        <v>0</v>
      </c>
      <c r="B18" s="38">
        <f t="shared" si="2"/>
        <v>0</v>
      </c>
      <c r="C18" s="38">
        <f>C17</f>
        <v>0</v>
      </c>
      <c r="D18" s="38">
        <f>Form!B33</f>
        <v>0</v>
      </c>
      <c r="E18" s="38">
        <f>Form!C33</f>
        <v>0</v>
      </c>
      <c r="F18" s="38">
        <f>Form!E33</f>
        <v>0</v>
      </c>
      <c r="G18" s="38">
        <f>Form!G33</f>
        <v>0</v>
      </c>
      <c r="H18" s="38">
        <f>Form!I33</f>
        <v>0</v>
      </c>
      <c r="I18" s="38">
        <f>Form!K33</f>
        <v>0</v>
      </c>
      <c r="J18" s="38">
        <f>Form!M33</f>
        <v>0</v>
      </c>
      <c r="K18" s="38">
        <f>Form!O33</f>
        <v>0</v>
      </c>
      <c r="L18" s="46">
        <f>Form!$M$5+Form!M$6</f>
        <v>0</v>
      </c>
      <c r="M18" s="38">
        <f>IF(C18+D18=Form!M$5+Form!M$6,1,0)</f>
        <v>1</v>
      </c>
      <c r="N18" s="38">
        <f t="shared" si="3"/>
        <v>0</v>
      </c>
      <c r="O18" s="38">
        <f>IF(A18&gt;L18,2,0)</f>
        <v>0</v>
      </c>
      <c r="P18" s="38">
        <f>IF(AND(N18=1,N19=0),1,0)+IF(AND(O17=0,O18=2),2,0)</f>
        <v>0</v>
      </c>
      <c r="Q18" s="38"/>
      <c r="R18" s="38"/>
      <c r="S18" s="38"/>
      <c r="T18" s="38"/>
      <c r="U18" s="38"/>
    </row>
    <row r="19" spans="1:21" x14ac:dyDescent="0.25">
      <c r="A19" s="38">
        <f t="shared" si="1"/>
        <v>0</v>
      </c>
      <c r="B19" s="38">
        <f t="shared" si="2"/>
        <v>0</v>
      </c>
      <c r="C19" s="38">
        <f>C18</f>
        <v>0</v>
      </c>
      <c r="D19" s="38">
        <f>Form!B34</f>
        <v>0</v>
      </c>
      <c r="E19" s="38">
        <f>Form!C34</f>
        <v>0</v>
      </c>
      <c r="F19" s="38">
        <f>Form!E34</f>
        <v>0</v>
      </c>
      <c r="G19" s="38">
        <f>Form!G34</f>
        <v>0</v>
      </c>
      <c r="H19" s="38">
        <f>Form!I34</f>
        <v>0</v>
      </c>
      <c r="I19" s="38">
        <f>Form!K34</f>
        <v>0</v>
      </c>
      <c r="J19" s="38">
        <f>Form!M34</f>
        <v>0</v>
      </c>
      <c r="K19" s="38">
        <f>Form!O34</f>
        <v>0</v>
      </c>
      <c r="L19" s="46">
        <f>Form!$M$5+Form!M$6</f>
        <v>0</v>
      </c>
      <c r="M19" s="38">
        <f>IF(C19+D19=Form!M$5+Form!M$6,1,0)</f>
        <v>1</v>
      </c>
      <c r="N19" s="38">
        <f t="shared" si="3"/>
        <v>0</v>
      </c>
      <c r="O19" s="38">
        <f>IF(A19&gt;L19,2,0)</f>
        <v>0</v>
      </c>
      <c r="P19" s="38">
        <f>IF(AND(N19=1,N20=0),1,0)+IF(AND(O18=0,O19=2),2,0)</f>
        <v>0</v>
      </c>
      <c r="Q19" s="38"/>
      <c r="R19" s="38"/>
      <c r="S19" s="38"/>
      <c r="T19" s="38"/>
      <c r="U19" s="38"/>
    </row>
    <row r="20" spans="1:21" x14ac:dyDescent="0.25">
      <c r="A20" s="38">
        <f t="shared" si="1"/>
        <v>0</v>
      </c>
      <c r="B20" s="38">
        <f t="shared" si="2"/>
        <v>0</v>
      </c>
      <c r="C20" s="38">
        <f>Form!A35</f>
        <v>0</v>
      </c>
      <c r="D20" s="38">
        <f>Form!B35</f>
        <v>0</v>
      </c>
      <c r="E20" s="38">
        <f>Form!C35</f>
        <v>0</v>
      </c>
      <c r="F20" s="38">
        <f>Form!E35</f>
        <v>0</v>
      </c>
      <c r="G20" s="38">
        <f>Form!G35</f>
        <v>0</v>
      </c>
      <c r="H20" s="38">
        <f>Form!I35</f>
        <v>0</v>
      </c>
      <c r="I20" s="38">
        <f>Form!K35</f>
        <v>0</v>
      </c>
      <c r="J20" s="38">
        <f>Form!M35</f>
        <v>0</v>
      </c>
      <c r="K20" s="38">
        <f>Form!O35</f>
        <v>0</v>
      </c>
      <c r="L20" s="46">
        <f>Form!$M$5+Form!M$6</f>
        <v>0</v>
      </c>
      <c r="M20" s="38">
        <f>IF(C20+D20=Form!M$5+Form!M$6,1,0)</f>
        <v>1</v>
      </c>
      <c r="N20" s="38">
        <f t="shared" si="3"/>
        <v>0</v>
      </c>
      <c r="O20" s="38">
        <f>IF(A20&gt;L20,2,0)</f>
        <v>0</v>
      </c>
      <c r="P20" s="38">
        <f>IF(AND(N20=1,N21=0),1,0)+IF(AND(O19=0,O20=2),2,0)</f>
        <v>0</v>
      </c>
      <c r="Q20" s="38"/>
      <c r="R20" s="38"/>
      <c r="S20" s="38"/>
      <c r="T20" s="38"/>
      <c r="U20" s="38"/>
    </row>
    <row r="21" spans="1:21" x14ac:dyDescent="0.25">
      <c r="A21" s="38">
        <f t="shared" si="1"/>
        <v>0</v>
      </c>
      <c r="B21" s="38">
        <f t="shared" si="2"/>
        <v>0</v>
      </c>
      <c r="C21" s="38">
        <f>C20</f>
        <v>0</v>
      </c>
      <c r="D21" s="38">
        <f>Form!B36</f>
        <v>0</v>
      </c>
      <c r="E21" s="38">
        <f>Form!C36</f>
        <v>0</v>
      </c>
      <c r="F21" s="38">
        <f>Form!E36</f>
        <v>0</v>
      </c>
      <c r="G21" s="38">
        <f>Form!G36</f>
        <v>0</v>
      </c>
      <c r="H21" s="38">
        <f>Form!I36</f>
        <v>0</v>
      </c>
      <c r="I21" s="38">
        <f>Form!K36</f>
        <v>0</v>
      </c>
      <c r="J21" s="38">
        <f>Form!M36</f>
        <v>0</v>
      </c>
      <c r="K21" s="38">
        <f>Form!O36</f>
        <v>0</v>
      </c>
      <c r="L21" s="46">
        <f>Form!$M$5+Form!M$6</f>
        <v>0</v>
      </c>
      <c r="M21" s="38">
        <f>IF(C21+D21=Form!M$5+Form!M$6,1,0)</f>
        <v>1</v>
      </c>
      <c r="N21" s="38">
        <f t="shared" si="3"/>
        <v>0</v>
      </c>
      <c r="O21" s="38">
        <f t="shared" ref="O21:O27" si="4">IF(A21&gt;L21,2,0)</f>
        <v>0</v>
      </c>
      <c r="P21" s="38">
        <f t="shared" ref="P21:P27" si="5">IF(AND(N21=1,N22=0),1,0)+IF(AND(O20=0,O21=2),2,0)</f>
        <v>0</v>
      </c>
      <c r="Q21" s="38"/>
      <c r="R21" s="38"/>
      <c r="S21" s="38"/>
      <c r="T21" s="38"/>
      <c r="U21" s="38"/>
    </row>
    <row r="22" spans="1:21" x14ac:dyDescent="0.25">
      <c r="A22" s="38">
        <f t="shared" si="1"/>
        <v>0</v>
      </c>
      <c r="B22" s="38">
        <f t="shared" si="2"/>
        <v>0</v>
      </c>
      <c r="C22" s="38">
        <f>C21</f>
        <v>0</v>
      </c>
      <c r="D22" s="38">
        <f>Form!B37</f>
        <v>0</v>
      </c>
      <c r="E22" s="38">
        <f>Form!C37</f>
        <v>0</v>
      </c>
      <c r="F22" s="38">
        <f>Form!E37</f>
        <v>0</v>
      </c>
      <c r="G22" s="38">
        <f>Form!G37</f>
        <v>0</v>
      </c>
      <c r="H22" s="38">
        <f>Form!I37</f>
        <v>0</v>
      </c>
      <c r="I22" s="38">
        <f>Form!K37</f>
        <v>0</v>
      </c>
      <c r="J22" s="38">
        <f>Form!M37</f>
        <v>0</v>
      </c>
      <c r="K22" s="38">
        <f>Form!O37</f>
        <v>0</v>
      </c>
      <c r="L22" s="46">
        <f>Form!$M$5+Form!M$6</f>
        <v>0</v>
      </c>
      <c r="M22" s="38">
        <f>IF(C22+D22=Form!M$5+Form!M$6,1,0)</f>
        <v>1</v>
      </c>
      <c r="N22" s="38">
        <f t="shared" si="3"/>
        <v>0</v>
      </c>
      <c r="O22" s="38">
        <f t="shared" si="4"/>
        <v>0</v>
      </c>
      <c r="P22" s="38">
        <f t="shared" si="5"/>
        <v>0</v>
      </c>
      <c r="Q22" s="38"/>
      <c r="R22" s="38"/>
      <c r="S22" s="38"/>
      <c r="T22" s="38"/>
      <c r="U22" s="38"/>
    </row>
    <row r="23" spans="1:21" x14ac:dyDescent="0.25">
      <c r="A23" s="38">
        <f t="shared" si="1"/>
        <v>0</v>
      </c>
      <c r="B23" s="38">
        <f t="shared" si="2"/>
        <v>0</v>
      </c>
      <c r="C23" s="38">
        <f>C22</f>
        <v>0</v>
      </c>
      <c r="D23" s="38">
        <f>Form!B38</f>
        <v>0</v>
      </c>
      <c r="E23" s="38">
        <f>Form!C38</f>
        <v>0</v>
      </c>
      <c r="F23" s="38">
        <f>Form!E38</f>
        <v>0</v>
      </c>
      <c r="G23" s="38">
        <f>Form!G38</f>
        <v>0</v>
      </c>
      <c r="H23" s="38">
        <f>Form!I38</f>
        <v>0</v>
      </c>
      <c r="I23" s="38">
        <f>Form!K38</f>
        <v>0</v>
      </c>
      <c r="J23" s="38">
        <f>Form!M38</f>
        <v>0</v>
      </c>
      <c r="K23" s="38">
        <f>Form!O38</f>
        <v>0</v>
      </c>
      <c r="L23" s="46">
        <f>Form!$M$5+Form!M$6</f>
        <v>0</v>
      </c>
      <c r="M23" s="38">
        <f>IF(C23+D23=Form!M$5+Form!M$6,1,0)</f>
        <v>1</v>
      </c>
      <c r="N23" s="38">
        <f t="shared" si="3"/>
        <v>0</v>
      </c>
      <c r="O23" s="38">
        <f t="shared" si="4"/>
        <v>0</v>
      </c>
      <c r="P23" s="38">
        <f t="shared" si="5"/>
        <v>0</v>
      </c>
      <c r="Q23" s="38"/>
      <c r="R23" s="38"/>
      <c r="S23" s="38"/>
      <c r="T23" s="38"/>
      <c r="U23" s="38"/>
    </row>
    <row r="24" spans="1:21" x14ac:dyDescent="0.25">
      <c r="A24" s="38">
        <f t="shared" si="1"/>
        <v>0</v>
      </c>
      <c r="B24" s="38">
        <f t="shared" si="2"/>
        <v>0</v>
      </c>
      <c r="C24" s="38">
        <f>Form!A39</f>
        <v>0</v>
      </c>
      <c r="D24" s="38">
        <f>Form!B39</f>
        <v>0</v>
      </c>
      <c r="E24" s="38">
        <f>Form!C39</f>
        <v>0</v>
      </c>
      <c r="F24" s="38">
        <f>Form!E39</f>
        <v>0</v>
      </c>
      <c r="G24" s="38">
        <f>Form!G39</f>
        <v>0</v>
      </c>
      <c r="H24" s="38">
        <f>Form!I39</f>
        <v>0</v>
      </c>
      <c r="I24" s="38">
        <f>Form!K39</f>
        <v>0</v>
      </c>
      <c r="J24" s="38">
        <f>Form!M39</f>
        <v>0</v>
      </c>
      <c r="K24" s="38">
        <f>Form!O39</f>
        <v>0</v>
      </c>
      <c r="L24" s="46">
        <f>Form!$M$5+Form!M$6</f>
        <v>0</v>
      </c>
      <c r="M24" s="38">
        <f>IF(C24+D24=Form!M$5+Form!M$6,1,0)</f>
        <v>1</v>
      </c>
      <c r="N24" s="38">
        <f t="shared" si="3"/>
        <v>0</v>
      </c>
      <c r="O24" s="38">
        <f t="shared" si="4"/>
        <v>0</v>
      </c>
      <c r="P24" s="38">
        <f t="shared" si="5"/>
        <v>0</v>
      </c>
      <c r="Q24" s="38"/>
      <c r="R24" s="38"/>
      <c r="S24" s="38"/>
      <c r="T24" s="38"/>
      <c r="U24" s="38"/>
    </row>
    <row r="25" spans="1:21" x14ac:dyDescent="0.25">
      <c r="A25" s="38">
        <f t="shared" si="1"/>
        <v>0</v>
      </c>
      <c r="B25" s="38">
        <f t="shared" si="2"/>
        <v>0</v>
      </c>
      <c r="C25" s="38">
        <f>C24</f>
        <v>0</v>
      </c>
      <c r="D25" s="38">
        <f>Form!B40</f>
        <v>0</v>
      </c>
      <c r="E25" s="38">
        <f>Form!C40</f>
        <v>0</v>
      </c>
      <c r="F25" s="38">
        <f>Form!E40</f>
        <v>0</v>
      </c>
      <c r="G25" s="38">
        <f>Form!G40</f>
        <v>0</v>
      </c>
      <c r="H25" s="38">
        <f>Form!I40</f>
        <v>0</v>
      </c>
      <c r="I25" s="38">
        <f>Form!K40</f>
        <v>0</v>
      </c>
      <c r="J25" s="38">
        <f>Form!M40</f>
        <v>0</v>
      </c>
      <c r="K25" s="38">
        <f>Form!O40</f>
        <v>0</v>
      </c>
      <c r="L25" s="46">
        <f>Form!$M$5+Form!M$6</f>
        <v>0</v>
      </c>
      <c r="M25" s="38">
        <f>IF(C25+D25=Form!M$5+Form!M$6,1,0)</f>
        <v>1</v>
      </c>
      <c r="N25" s="38">
        <f t="shared" si="3"/>
        <v>0</v>
      </c>
      <c r="O25" s="38">
        <f t="shared" si="4"/>
        <v>0</v>
      </c>
      <c r="P25" s="38">
        <f t="shared" si="5"/>
        <v>0</v>
      </c>
      <c r="Q25" s="38"/>
      <c r="R25" s="38"/>
      <c r="S25" s="38"/>
      <c r="T25" s="38"/>
      <c r="U25" s="38"/>
    </row>
    <row r="26" spans="1:21" x14ac:dyDescent="0.25">
      <c r="A26" s="38">
        <f t="shared" si="1"/>
        <v>0</v>
      </c>
      <c r="B26" s="38">
        <f t="shared" si="2"/>
        <v>0</v>
      </c>
      <c r="C26" s="38">
        <f>C25</f>
        <v>0</v>
      </c>
      <c r="D26" s="38">
        <f>Form!B41</f>
        <v>0</v>
      </c>
      <c r="E26" s="38">
        <f>Form!C41</f>
        <v>0</v>
      </c>
      <c r="F26" s="38">
        <f>Form!E41</f>
        <v>0</v>
      </c>
      <c r="G26" s="38">
        <f>Form!G41</f>
        <v>0</v>
      </c>
      <c r="H26" s="38">
        <f>Form!I41</f>
        <v>0</v>
      </c>
      <c r="I26" s="38">
        <f>Form!K41</f>
        <v>0</v>
      </c>
      <c r="J26" s="38">
        <f>Form!M41</f>
        <v>0</v>
      </c>
      <c r="K26" s="38">
        <f>Form!O41</f>
        <v>0</v>
      </c>
      <c r="L26" s="46">
        <f>Form!$M$5+Form!M$6</f>
        <v>0</v>
      </c>
      <c r="M26" s="38">
        <f>IF(C26+D26=Form!M$5+Form!M$6,1,0)</f>
        <v>1</v>
      </c>
      <c r="N26" s="38">
        <f t="shared" si="3"/>
        <v>0</v>
      </c>
      <c r="O26" s="38">
        <f t="shared" si="4"/>
        <v>0</v>
      </c>
      <c r="P26" s="38">
        <f t="shared" si="5"/>
        <v>0</v>
      </c>
      <c r="Q26" s="38"/>
      <c r="R26" s="38"/>
      <c r="S26" s="38"/>
      <c r="T26" s="38"/>
      <c r="U26" s="38"/>
    </row>
    <row r="27" spans="1:21" x14ac:dyDescent="0.25">
      <c r="A27" s="38">
        <f t="shared" si="1"/>
        <v>0</v>
      </c>
      <c r="B27" s="38">
        <f t="shared" si="2"/>
        <v>0</v>
      </c>
      <c r="C27" s="38">
        <f>C26</f>
        <v>0</v>
      </c>
      <c r="D27" s="38">
        <f>Form!B42</f>
        <v>0</v>
      </c>
      <c r="E27" s="38">
        <f>Form!C42</f>
        <v>0</v>
      </c>
      <c r="F27" s="38">
        <f>Form!E42</f>
        <v>0</v>
      </c>
      <c r="G27" s="38">
        <f>Form!G42</f>
        <v>0</v>
      </c>
      <c r="H27" s="38">
        <f>Form!I42</f>
        <v>0</v>
      </c>
      <c r="I27" s="38">
        <f>Form!K42</f>
        <v>0</v>
      </c>
      <c r="J27" s="38">
        <f>Form!M42</f>
        <v>0</v>
      </c>
      <c r="K27" s="38">
        <f>Form!O42</f>
        <v>0</v>
      </c>
      <c r="L27" s="46">
        <f>Form!$M$5+Form!M$6</f>
        <v>0</v>
      </c>
      <c r="M27" s="38">
        <f>IF(C27+D27=Form!M$5+Form!M$6,1,0)</f>
        <v>1</v>
      </c>
      <c r="N27" s="38">
        <f t="shared" si="3"/>
        <v>0</v>
      </c>
      <c r="O27" s="38">
        <f t="shared" si="4"/>
        <v>0</v>
      </c>
      <c r="P27" s="38">
        <f t="shared" si="5"/>
        <v>0</v>
      </c>
      <c r="Q27" s="38"/>
      <c r="R27" s="38"/>
      <c r="S27" s="38"/>
      <c r="T27" s="38"/>
      <c r="U27" s="38"/>
    </row>
    <row r="28" spans="1:21" x14ac:dyDescent="0.25">
      <c r="A28" s="38">
        <f t="shared" si="1"/>
        <v>0</v>
      </c>
      <c r="B28" s="38">
        <f>SUM(B16:B27)</f>
        <v>0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spans="1:21" x14ac:dyDescent="0.25">
      <c r="A29" s="38"/>
      <c r="B29" s="38"/>
      <c r="C29" s="38"/>
      <c r="D29" s="38"/>
      <c r="E29" s="38"/>
      <c r="F29" s="38">
        <f>IF(AND(F15&gt;Form!$M$4,E15&lt;Form!$M$4),2,0)</f>
        <v>0</v>
      </c>
      <c r="G29" s="38">
        <f>IF(AND(G15&gt;Form!$M$4,F15&lt;Form!$M$4),2,0)</f>
        <v>0</v>
      </c>
      <c r="H29" s="38">
        <f>IF(AND(H15&gt;Form!$M$4,G15&lt;Form!$M$4),2,0)</f>
        <v>0</v>
      </c>
      <c r="I29" s="38">
        <f>IF(AND(I15&gt;Form!$M$4,H15&lt;Form!$M$4),2,0)</f>
        <v>0</v>
      </c>
      <c r="J29" s="38">
        <f>IF(AND(J15&gt;Form!$M$4,I15&lt;Form!$M$4),2,0)</f>
        <v>0</v>
      </c>
      <c r="K29" s="38">
        <f>IF(AND(K15&gt;Form!$M$4,J15&lt;Form!$M$4),2,0)</f>
        <v>0</v>
      </c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spans="1:21" x14ac:dyDescent="0.25">
      <c r="A30" s="38"/>
      <c r="B30" s="38"/>
      <c r="C30" s="38" t="e">
        <f>HLOOKUP(1,E14:K15,2,FALSE)</f>
        <v>#N/A</v>
      </c>
      <c r="D30" s="38"/>
      <c r="E30" s="38">
        <f>IF(F29=2,1,0)</f>
        <v>0</v>
      </c>
      <c r="F30" s="38">
        <f t="shared" ref="F30:K30" si="6">IF(G29=2,1,0)</f>
        <v>0</v>
      </c>
      <c r="G30" s="38">
        <f t="shared" si="6"/>
        <v>0</v>
      </c>
      <c r="H30" s="38">
        <f t="shared" si="6"/>
        <v>0</v>
      </c>
      <c r="I30" s="38">
        <f t="shared" si="6"/>
        <v>0</v>
      </c>
      <c r="J30" s="38">
        <f t="shared" si="6"/>
        <v>0</v>
      </c>
      <c r="K30" s="38">
        <f t="shared" si="6"/>
        <v>0</v>
      </c>
      <c r="L30" s="38"/>
      <c r="M30" s="38"/>
      <c r="N30" s="38"/>
      <c r="O30" s="38"/>
      <c r="P30" s="38"/>
      <c r="Q30" s="38"/>
      <c r="R30" s="38"/>
      <c r="S30" s="38"/>
      <c r="T30" s="38"/>
      <c r="U30" s="38"/>
    </row>
    <row r="31" spans="1:21" x14ac:dyDescent="0.25">
      <c r="A31" s="38"/>
      <c r="B31" s="38"/>
      <c r="C31" s="38" t="e">
        <f>HLOOKUP(2,E14:K15,2,FALSE)</f>
        <v>#N/A</v>
      </c>
      <c r="D31" s="38"/>
      <c r="E31" s="38">
        <f t="shared" ref="E31:K31" si="7">SUM(E29:E30)</f>
        <v>0</v>
      </c>
      <c r="F31" s="38">
        <f t="shared" si="7"/>
        <v>0</v>
      </c>
      <c r="G31" s="38">
        <f t="shared" si="7"/>
        <v>0</v>
      </c>
      <c r="H31" s="38">
        <f t="shared" si="7"/>
        <v>0</v>
      </c>
      <c r="I31" s="38">
        <f t="shared" si="7"/>
        <v>0</v>
      </c>
      <c r="J31" s="38">
        <f t="shared" si="7"/>
        <v>0</v>
      </c>
      <c r="K31" s="38">
        <f t="shared" si="7"/>
        <v>0</v>
      </c>
      <c r="L31" s="38"/>
      <c r="M31" s="38"/>
      <c r="N31" s="38"/>
      <c r="O31" s="38"/>
      <c r="P31" s="38"/>
      <c r="Q31" s="38"/>
      <c r="R31" s="38"/>
      <c r="S31" s="38"/>
      <c r="T31" s="38"/>
      <c r="U31" s="38"/>
    </row>
    <row r="32" spans="1:21" x14ac:dyDescent="0.25">
      <c r="A32" s="38"/>
      <c r="B32" s="38" t="e">
        <f>(VLOOKUP(1,B14:K27,3,FALSE))</f>
        <v>#N/A</v>
      </c>
      <c r="C32" s="38">
        <f>IF(ISERROR(B32),0,B32)</f>
        <v>0</v>
      </c>
      <c r="D32" s="38"/>
      <c r="E32" s="38" t="e">
        <f>(C34-C35)/(C32-C33)*(Form!$M$6-C33)+C35</f>
        <v>#N/A</v>
      </c>
      <c r="F32" s="38" t="e">
        <f>(C36-C37)/(C32-C33)*(Form!M6-C33)+C37</f>
        <v>#N/A</v>
      </c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</row>
    <row r="33" spans="1:21" x14ac:dyDescent="0.25">
      <c r="A33" s="38"/>
      <c r="B33" s="38" t="e">
        <f>VLOOKUP(2,B14:K27,3,FALSE)</f>
        <v>#N/A</v>
      </c>
      <c r="C33" s="38">
        <f>IF(ISERROR(B33),0,B33)</f>
        <v>0</v>
      </c>
      <c r="D33" s="38"/>
      <c r="E33" s="40">
        <f>IF(AND(B28=0,L14=3),VLOOKUP(Form!$M$5+Form!$M$6,notes!A14:K27,MATCH(1,notes!A14:K14,FALSE),FALSE),0)</f>
        <v>0</v>
      </c>
      <c r="F33" s="38">
        <f>IF(AND(B28=0,L14=3),VLOOKUP(Form!$M$5+Form!$M$6,notes!A14:K27,MATCH(2,notes!A14:K14,FALSE),FALSE),0)</f>
        <v>0</v>
      </c>
      <c r="G33" s="38"/>
      <c r="H33" s="38"/>
      <c r="I33" s="38" t="s">
        <v>37</v>
      </c>
      <c r="J33" s="38"/>
      <c r="M33" s="38"/>
      <c r="N33" s="38"/>
      <c r="O33" s="38"/>
      <c r="P33" s="38"/>
      <c r="Q33" s="38"/>
      <c r="R33" s="38"/>
      <c r="S33" s="38"/>
      <c r="T33" s="38"/>
      <c r="U33" s="38"/>
    </row>
    <row r="34" spans="1:21" x14ac:dyDescent="0.25">
      <c r="A34" s="38"/>
      <c r="B34" s="38" t="e">
        <f>VLOOKUP(1,B14:K27,MATCH(1,B14:K14,FALSE),FALSE)</f>
        <v>#N/A</v>
      </c>
      <c r="C34" s="38" t="e">
        <f>MIN(B34,B36)</f>
        <v>#N/A</v>
      </c>
      <c r="D34" s="38"/>
      <c r="E34" s="38">
        <f>IF(ISERROR(E32),E33,E32)</f>
        <v>0</v>
      </c>
      <c r="F34" s="38">
        <f>IF(ISERROR(F32),F33,F32)</f>
        <v>0</v>
      </c>
      <c r="G34" s="38"/>
      <c r="H34" s="38"/>
      <c r="I34" s="38" t="s">
        <v>34</v>
      </c>
      <c r="J34" s="38" t="s">
        <v>35</v>
      </c>
      <c r="K34" s="38" t="s">
        <v>39</v>
      </c>
      <c r="L34" s="38" t="s">
        <v>40</v>
      </c>
      <c r="M34" s="38" t="s">
        <v>41</v>
      </c>
      <c r="N34" s="38" t="s">
        <v>38</v>
      </c>
      <c r="O34" s="38"/>
      <c r="P34" s="38"/>
      <c r="Q34" s="38"/>
      <c r="R34" s="38"/>
      <c r="S34" s="38"/>
      <c r="T34" s="38"/>
      <c r="U34" s="38"/>
    </row>
    <row r="35" spans="1:21" x14ac:dyDescent="0.25">
      <c r="A35" s="38"/>
      <c r="B35" s="38" t="e">
        <f>VLOOKUP(2,B14:K27,MATCH(1,B14:K14,FALSE),FALSE)</f>
        <v>#N/A</v>
      </c>
      <c r="C35" s="38" t="e">
        <f>MAX(B35,B37)</f>
        <v>#N/A</v>
      </c>
      <c r="D35" s="38"/>
      <c r="E35" s="37">
        <f>MIN(E34:F34)</f>
        <v>0</v>
      </c>
      <c r="F35" s="37">
        <f>MAX(E34:F34)</f>
        <v>0</v>
      </c>
      <c r="G35" s="38"/>
      <c r="H35" s="38"/>
      <c r="I35" s="38" t="s">
        <v>35</v>
      </c>
      <c r="J35" s="38" t="s">
        <v>35</v>
      </c>
      <c r="K35" s="38">
        <f>IF(ISERROR(VLOOKUP(Form!$M$5+Form!$M$6,notes!A15:K27,MATCH(Form!$M$4,notes!A15:K15,FALSE),FALSE)),0,VLOOKUP(Form!$M$5+Form!$M$6,notes!A15:K27,MATCH(Form!$M$4,notes!A15:K15,FALSE),FALSE))</f>
        <v>0</v>
      </c>
      <c r="L35" s="38"/>
      <c r="M35" s="38"/>
      <c r="N35" s="38">
        <f>SUM(K35:M35)</f>
        <v>0</v>
      </c>
      <c r="O35" s="38"/>
      <c r="P35" s="38"/>
      <c r="Q35" s="38"/>
      <c r="R35" s="38"/>
      <c r="S35" s="38"/>
      <c r="T35" s="38"/>
      <c r="U35" s="38"/>
    </row>
    <row r="36" spans="1:21" x14ac:dyDescent="0.25">
      <c r="A36" s="38"/>
      <c r="B36" s="38" t="e">
        <f>VLOOKUP(1,B14:K27,MATCH(2,B14:K14,FALSE),FALSE)</f>
        <v>#N/A</v>
      </c>
      <c r="C36" s="38" t="e">
        <f>MAX(B36,B34)</f>
        <v>#N/A</v>
      </c>
      <c r="D36" s="38"/>
      <c r="E36" s="38" t="e">
        <f>(E35-F35)/(C31-C30)*(Form!$M$4-C30)+F35</f>
        <v>#N/A</v>
      </c>
      <c r="F36" s="39"/>
      <c r="G36" s="38"/>
      <c r="H36" s="38"/>
      <c r="I36" s="38" t="s">
        <v>35</v>
      </c>
      <c r="J36" s="38" t="s">
        <v>36</v>
      </c>
      <c r="K36" s="38"/>
      <c r="L36" s="38"/>
      <c r="M36" s="38"/>
      <c r="N36" s="38">
        <f>SUM(K36:M36)</f>
        <v>0</v>
      </c>
      <c r="O36" s="38"/>
      <c r="P36" s="38"/>
      <c r="Q36" s="38"/>
      <c r="R36" s="38"/>
      <c r="S36" s="38"/>
      <c r="T36" s="38"/>
      <c r="U36" s="38"/>
    </row>
    <row r="37" spans="1:21" x14ac:dyDescent="0.25">
      <c r="A37" s="38"/>
      <c r="B37" s="38" t="e">
        <f>VLOOKUP(2,B14:K27,MATCH(2,B14:K14,FALSE),FALSE)</f>
        <v>#N/A</v>
      </c>
      <c r="C37" s="38" t="e">
        <f>MIN(B35,B37)</f>
        <v>#N/A</v>
      </c>
      <c r="D37" s="38"/>
      <c r="E37" s="40"/>
      <c r="F37" s="38"/>
      <c r="G37" s="38"/>
      <c r="H37" s="38"/>
      <c r="I37" s="38" t="s">
        <v>36</v>
      </c>
      <c r="J37" s="38" t="s">
        <v>36</v>
      </c>
      <c r="K37" s="38" t="e">
        <f>IF(OR(E36&gt;100000,E36&lt;=0),0,E36)</f>
        <v>#N/A</v>
      </c>
      <c r="L37" s="38" t="e">
        <f>IF(K37&lt;&gt;0,0,MIN(E32:F32))</f>
        <v>#N/A</v>
      </c>
      <c r="M37" s="38" t="e">
        <f>IF(AND(L37=0,K37=0),C34,0)</f>
        <v>#N/A</v>
      </c>
      <c r="N37" s="38" t="e">
        <f>SUM(K37:M37)</f>
        <v>#N/A</v>
      </c>
      <c r="O37" s="38"/>
      <c r="P37" s="38"/>
      <c r="Q37" s="38"/>
      <c r="R37" s="38"/>
      <c r="S37" s="38"/>
      <c r="T37" s="38"/>
      <c r="U37" s="38"/>
    </row>
    <row r="38" spans="1:21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  <c r="N38" s="38">
        <f>IF(ISERROR(N37),N35,N37)</f>
        <v>0</v>
      </c>
      <c r="O38" s="38"/>
      <c r="P38" s="38"/>
      <c r="Q38" s="38"/>
      <c r="R38" s="38"/>
      <c r="S38" s="38"/>
      <c r="T38" s="38"/>
      <c r="U38" s="38"/>
    </row>
    <row r="39" spans="1:21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</row>
    <row r="40" spans="1:21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</row>
    <row r="41" spans="1:21" x14ac:dyDescent="0.25">
      <c r="A41" s="38" t="s">
        <v>42</v>
      </c>
      <c r="B41" s="38"/>
      <c r="C41" s="38"/>
      <c r="D41" s="38"/>
      <c r="E41" s="38">
        <f>E58</f>
        <v>0</v>
      </c>
      <c r="F41" s="38">
        <f t="shared" ref="F41:K41" si="8">F58</f>
        <v>0</v>
      </c>
      <c r="G41" s="38">
        <f t="shared" si="8"/>
        <v>0</v>
      </c>
      <c r="H41" s="38">
        <f t="shared" si="8"/>
        <v>0</v>
      </c>
      <c r="I41" s="38">
        <f t="shared" si="8"/>
        <v>0</v>
      </c>
      <c r="J41" s="38">
        <f t="shared" si="8"/>
        <v>0</v>
      </c>
      <c r="K41" s="38">
        <f t="shared" si="8"/>
        <v>0</v>
      </c>
      <c r="L41" s="38">
        <f>SUM(E41:K41)</f>
        <v>0</v>
      </c>
      <c r="M41" s="38"/>
      <c r="N41" s="38"/>
      <c r="O41" s="38"/>
      <c r="P41" s="38"/>
      <c r="Q41" s="38"/>
      <c r="R41" s="38"/>
      <c r="S41" s="38"/>
      <c r="T41" s="38"/>
      <c r="U41" s="38"/>
    </row>
    <row r="42" spans="1:21" x14ac:dyDescent="0.25">
      <c r="A42" s="38"/>
      <c r="B42" s="38"/>
      <c r="C42" s="38"/>
      <c r="D42" s="38"/>
      <c r="E42" s="38">
        <f>E15</f>
        <v>65</v>
      </c>
      <c r="F42" s="38">
        <f t="shared" ref="F42:K42" si="9">F15</f>
        <v>75</v>
      </c>
      <c r="G42" s="38">
        <f t="shared" si="9"/>
        <v>80</v>
      </c>
      <c r="H42" s="38">
        <f t="shared" si="9"/>
        <v>85</v>
      </c>
      <c r="I42" s="38">
        <f t="shared" si="9"/>
        <v>90</v>
      </c>
      <c r="J42" s="38">
        <f t="shared" si="9"/>
        <v>95</v>
      </c>
      <c r="K42" s="38">
        <f t="shared" si="9"/>
        <v>105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</row>
    <row r="43" spans="1:21" x14ac:dyDescent="0.25">
      <c r="A43" s="38">
        <f>C43+D43</f>
        <v>0</v>
      </c>
      <c r="B43" s="38">
        <f>P43</f>
        <v>0</v>
      </c>
      <c r="C43" s="38">
        <f>C16</f>
        <v>0</v>
      </c>
      <c r="D43" s="38">
        <f>D16</f>
        <v>0</v>
      </c>
      <c r="E43" s="38">
        <f>Form!D31</f>
        <v>0</v>
      </c>
      <c r="F43" s="38">
        <f>Form!F31</f>
        <v>0</v>
      </c>
      <c r="G43" s="38">
        <f>Form!H31</f>
        <v>0</v>
      </c>
      <c r="H43" s="38">
        <f>Form!J31</f>
        <v>0</v>
      </c>
      <c r="I43" s="38">
        <f>Form!L31</f>
        <v>0</v>
      </c>
      <c r="J43" s="38">
        <f>Form!N31</f>
        <v>0</v>
      </c>
      <c r="K43" s="38">
        <f>Form!P31</f>
        <v>0</v>
      </c>
      <c r="L43" s="46">
        <f>Form!$M$5+Form!M$6</f>
        <v>0</v>
      </c>
      <c r="M43" s="38">
        <f>IF(C43+D43=Form!M$5+Form!M$6,1,0)</f>
        <v>1</v>
      </c>
      <c r="N43" s="38">
        <f>IF(A43&lt;L43,1,0)</f>
        <v>0</v>
      </c>
      <c r="O43" s="38">
        <f>IF(A43&gt;L43,2,0)</f>
        <v>0</v>
      </c>
      <c r="P43" s="38">
        <f>IF(AND(N43=1,N44=0),1,0)+IF(AND(O42=0,O43=2),2,0)</f>
        <v>0</v>
      </c>
      <c r="Q43" s="38"/>
      <c r="R43" s="38"/>
      <c r="S43" s="38"/>
      <c r="T43" s="38"/>
      <c r="U43" s="38"/>
    </row>
    <row r="44" spans="1:21" x14ac:dyDescent="0.25">
      <c r="A44" s="38">
        <f>C44+D44</f>
        <v>0</v>
      </c>
      <c r="B44" s="38">
        <f t="shared" ref="B44:B54" si="10">P44</f>
        <v>0</v>
      </c>
      <c r="C44" s="38">
        <f t="shared" ref="C44:C54" si="11">C17</f>
        <v>0</v>
      </c>
      <c r="D44" s="38">
        <f t="shared" ref="D44:D54" si="12">D17</f>
        <v>0</v>
      </c>
      <c r="E44" s="38">
        <f>Form!D32</f>
        <v>0</v>
      </c>
      <c r="F44" s="38">
        <f>Form!F32</f>
        <v>0</v>
      </c>
      <c r="G44" s="38">
        <f>Form!H32</f>
        <v>0</v>
      </c>
      <c r="H44" s="38">
        <f>Form!J32</f>
        <v>0</v>
      </c>
      <c r="I44" s="38">
        <f>Form!L32</f>
        <v>0</v>
      </c>
      <c r="J44" s="38">
        <f>Form!N32</f>
        <v>0</v>
      </c>
      <c r="K44" s="38">
        <f>Form!P32</f>
        <v>0</v>
      </c>
      <c r="L44" s="46">
        <f>Form!$M$5+Form!M$6</f>
        <v>0</v>
      </c>
      <c r="M44" s="38">
        <f>IF(C44+D44=Form!M$5+Form!M$6,1,0)</f>
        <v>1</v>
      </c>
      <c r="N44" s="38">
        <f t="shared" ref="N44:N54" si="13">IF(A44&lt;L44,1,0)</f>
        <v>0</v>
      </c>
      <c r="O44" s="38">
        <f>IF(A44&gt;L44,2,0)</f>
        <v>0</v>
      </c>
      <c r="P44" s="38">
        <f>IF(AND(N44=1,N45=0),1,0)+IF(AND(O43=0,O44=2),2,0)</f>
        <v>0</v>
      </c>
      <c r="Q44" s="38"/>
      <c r="R44" s="38"/>
      <c r="S44" s="38"/>
      <c r="T44" s="38"/>
      <c r="U44" s="38"/>
    </row>
    <row r="45" spans="1:21" x14ac:dyDescent="0.25">
      <c r="A45" s="38">
        <f t="shared" ref="A45:A55" si="14">C45+D45</f>
        <v>0</v>
      </c>
      <c r="B45" s="38">
        <f t="shared" si="10"/>
        <v>0</v>
      </c>
      <c r="C45" s="38">
        <f t="shared" si="11"/>
        <v>0</v>
      </c>
      <c r="D45" s="38">
        <f t="shared" si="12"/>
        <v>0</v>
      </c>
      <c r="E45" s="38">
        <f>Form!D33</f>
        <v>0</v>
      </c>
      <c r="F45" s="38">
        <f>Form!F33</f>
        <v>0</v>
      </c>
      <c r="G45" s="38">
        <f>Form!H33</f>
        <v>0</v>
      </c>
      <c r="H45" s="38">
        <f>Form!J33</f>
        <v>0</v>
      </c>
      <c r="I45" s="38">
        <f>Form!L33</f>
        <v>0</v>
      </c>
      <c r="J45" s="38">
        <f>Form!N33</f>
        <v>0</v>
      </c>
      <c r="K45" s="38">
        <f>Form!P33</f>
        <v>0</v>
      </c>
      <c r="L45" s="46">
        <f>Form!$M$5+Form!M$6</f>
        <v>0</v>
      </c>
      <c r="M45" s="38">
        <f>IF(C45+D45=Form!M$5+Form!M$6,1,0)</f>
        <v>1</v>
      </c>
      <c r="N45" s="38">
        <f t="shared" si="13"/>
        <v>0</v>
      </c>
      <c r="O45" s="38">
        <f>IF(A45&gt;L45,2,0)</f>
        <v>0</v>
      </c>
      <c r="P45" s="38">
        <f>IF(AND(N45=1,N46=0),1,0)+IF(AND(O44=0,O45=2),2,0)</f>
        <v>0</v>
      </c>
      <c r="Q45" s="38"/>
      <c r="R45" s="38"/>
      <c r="S45" s="38"/>
      <c r="T45" s="38"/>
      <c r="U45" s="38"/>
    </row>
    <row r="46" spans="1:21" x14ac:dyDescent="0.25">
      <c r="A46" s="38">
        <f t="shared" si="14"/>
        <v>0</v>
      </c>
      <c r="B46" s="38">
        <f t="shared" si="10"/>
        <v>0</v>
      </c>
      <c r="C46" s="38">
        <f t="shared" si="11"/>
        <v>0</v>
      </c>
      <c r="D46" s="38">
        <f t="shared" si="12"/>
        <v>0</v>
      </c>
      <c r="E46" s="38">
        <f>Form!D34</f>
        <v>0</v>
      </c>
      <c r="F46" s="38">
        <f>Form!F34</f>
        <v>0</v>
      </c>
      <c r="G46" s="38">
        <f>Form!H34</f>
        <v>0</v>
      </c>
      <c r="H46" s="38">
        <f>Form!J34</f>
        <v>0</v>
      </c>
      <c r="I46" s="38">
        <f>Form!L34</f>
        <v>0</v>
      </c>
      <c r="J46" s="38">
        <f>Form!N34</f>
        <v>0</v>
      </c>
      <c r="K46" s="38">
        <f>Form!P34</f>
        <v>0</v>
      </c>
      <c r="L46" s="46">
        <f>Form!$M$5+Form!M$6</f>
        <v>0</v>
      </c>
      <c r="M46" s="38">
        <f>IF(C46+D46=Form!M$5+Form!M$6,1,0)</f>
        <v>1</v>
      </c>
      <c r="N46" s="38">
        <f t="shared" si="13"/>
        <v>0</v>
      </c>
      <c r="O46" s="38">
        <f>IF(A46&gt;L46,2,0)</f>
        <v>0</v>
      </c>
      <c r="P46" s="38">
        <f>IF(AND(N46=1,N47=0),1,0)+IF(AND(O45=0,O46=2),2,0)</f>
        <v>0</v>
      </c>
      <c r="Q46" s="38"/>
      <c r="R46" s="38"/>
      <c r="S46" s="38"/>
      <c r="T46" s="38"/>
      <c r="U46" s="38"/>
    </row>
    <row r="47" spans="1:21" x14ac:dyDescent="0.25">
      <c r="A47" s="38">
        <f t="shared" si="14"/>
        <v>0</v>
      </c>
      <c r="B47" s="38">
        <f t="shared" si="10"/>
        <v>0</v>
      </c>
      <c r="C47" s="38">
        <f t="shared" si="11"/>
        <v>0</v>
      </c>
      <c r="D47" s="38">
        <f t="shared" si="12"/>
        <v>0</v>
      </c>
      <c r="E47" s="38">
        <f>Form!D35</f>
        <v>0</v>
      </c>
      <c r="F47" s="38">
        <f>Form!F35</f>
        <v>0</v>
      </c>
      <c r="G47" s="38">
        <f>Form!H35</f>
        <v>0</v>
      </c>
      <c r="H47" s="38">
        <f>Form!J35</f>
        <v>0</v>
      </c>
      <c r="I47" s="38">
        <f>Form!L35</f>
        <v>0</v>
      </c>
      <c r="J47" s="38">
        <f>Form!N35</f>
        <v>0</v>
      </c>
      <c r="K47" s="38">
        <f>Form!P35</f>
        <v>0</v>
      </c>
      <c r="L47" s="46">
        <f>Form!$M$5+Form!M$6</f>
        <v>0</v>
      </c>
      <c r="M47" s="38">
        <f>IF(C47+D47=Form!M$5+Form!M$6,1,0)</f>
        <v>1</v>
      </c>
      <c r="N47" s="38">
        <f t="shared" si="13"/>
        <v>0</v>
      </c>
      <c r="O47" s="38">
        <f>IF(A47&gt;L47,2,0)</f>
        <v>0</v>
      </c>
      <c r="P47" s="38">
        <f>IF(AND(N47=1,N48=0),1,0)+IF(AND(O46=0,O47=2),2,0)</f>
        <v>0</v>
      </c>
      <c r="Q47" s="38"/>
      <c r="R47" s="38"/>
      <c r="S47" s="38"/>
      <c r="T47" s="38"/>
      <c r="U47" s="38"/>
    </row>
    <row r="48" spans="1:21" x14ac:dyDescent="0.25">
      <c r="A48" s="38">
        <f t="shared" si="14"/>
        <v>0</v>
      </c>
      <c r="B48" s="38">
        <f t="shared" si="10"/>
        <v>0</v>
      </c>
      <c r="C48" s="38">
        <f t="shared" si="11"/>
        <v>0</v>
      </c>
      <c r="D48" s="38">
        <f t="shared" si="12"/>
        <v>0</v>
      </c>
      <c r="E48" s="38">
        <f>Form!D36</f>
        <v>0</v>
      </c>
      <c r="F48" s="38">
        <f>Form!F36</f>
        <v>0</v>
      </c>
      <c r="G48" s="38">
        <f>Form!H36</f>
        <v>0</v>
      </c>
      <c r="H48" s="38">
        <f>Form!J36</f>
        <v>0</v>
      </c>
      <c r="I48" s="38">
        <f>Form!L36</f>
        <v>0</v>
      </c>
      <c r="J48" s="38">
        <f>Form!N36</f>
        <v>0</v>
      </c>
      <c r="K48" s="38">
        <f>Form!P36</f>
        <v>0</v>
      </c>
      <c r="L48" s="46">
        <f>Form!$M$5+Form!M$6</f>
        <v>0</v>
      </c>
      <c r="M48" s="38">
        <f>IF(C48+D48=Form!M$5+Form!M$6,1,0)</f>
        <v>1</v>
      </c>
      <c r="N48" s="38">
        <f t="shared" si="13"/>
        <v>0</v>
      </c>
      <c r="O48" s="38">
        <f t="shared" ref="O48:O54" si="15">IF(A48&gt;L48,2,0)</f>
        <v>0</v>
      </c>
      <c r="P48" s="38">
        <f t="shared" ref="P48:P54" si="16">IF(AND(N48=1,N49=0),1,0)+IF(AND(O47=0,O48=2),2,0)</f>
        <v>0</v>
      </c>
      <c r="Q48" s="38"/>
      <c r="R48" s="38"/>
      <c r="S48" s="38"/>
      <c r="T48" s="38"/>
      <c r="U48" s="38"/>
    </row>
    <row r="49" spans="1:21" x14ac:dyDescent="0.25">
      <c r="A49" s="38">
        <f t="shared" si="14"/>
        <v>0</v>
      </c>
      <c r="B49" s="38">
        <f t="shared" si="10"/>
        <v>0</v>
      </c>
      <c r="C49" s="38">
        <f t="shared" si="11"/>
        <v>0</v>
      </c>
      <c r="D49" s="38">
        <f t="shared" si="12"/>
        <v>0</v>
      </c>
      <c r="E49" s="38">
        <f>Form!D37</f>
        <v>0</v>
      </c>
      <c r="F49" s="38">
        <f>Form!F37</f>
        <v>0</v>
      </c>
      <c r="G49" s="38">
        <f>Form!H37</f>
        <v>0</v>
      </c>
      <c r="H49" s="38">
        <f>Form!J37</f>
        <v>0</v>
      </c>
      <c r="I49" s="38">
        <f>Form!L37</f>
        <v>0</v>
      </c>
      <c r="J49" s="38">
        <f>Form!N37</f>
        <v>0</v>
      </c>
      <c r="K49" s="38">
        <f>Form!P37</f>
        <v>0</v>
      </c>
      <c r="L49" s="46">
        <f>Form!$M$5+Form!M$6</f>
        <v>0</v>
      </c>
      <c r="M49" s="38">
        <f>IF(C49+D49=Form!M$5+Form!M$6,1,0)</f>
        <v>1</v>
      </c>
      <c r="N49" s="38">
        <f t="shared" si="13"/>
        <v>0</v>
      </c>
      <c r="O49" s="38">
        <f t="shared" si="15"/>
        <v>0</v>
      </c>
      <c r="P49" s="38">
        <f t="shared" si="16"/>
        <v>0</v>
      </c>
      <c r="Q49" s="38"/>
      <c r="R49" s="38"/>
      <c r="S49" s="38"/>
      <c r="T49" s="38"/>
      <c r="U49" s="38"/>
    </row>
    <row r="50" spans="1:21" x14ac:dyDescent="0.25">
      <c r="A50" s="38">
        <f t="shared" si="14"/>
        <v>0</v>
      </c>
      <c r="B50" s="38">
        <f t="shared" si="10"/>
        <v>0</v>
      </c>
      <c r="C50" s="38">
        <f t="shared" si="11"/>
        <v>0</v>
      </c>
      <c r="D50" s="38">
        <f t="shared" si="12"/>
        <v>0</v>
      </c>
      <c r="E50" s="38">
        <f>Form!D38</f>
        <v>0</v>
      </c>
      <c r="F50" s="38">
        <f>Form!F38</f>
        <v>0</v>
      </c>
      <c r="G50" s="38">
        <f>Form!H38</f>
        <v>0</v>
      </c>
      <c r="H50" s="38">
        <f>Form!J38</f>
        <v>0</v>
      </c>
      <c r="I50" s="38">
        <f>Form!L38</f>
        <v>0</v>
      </c>
      <c r="J50" s="38">
        <f>Form!N38</f>
        <v>0</v>
      </c>
      <c r="K50" s="38">
        <f>Form!P38</f>
        <v>0</v>
      </c>
      <c r="L50" s="46">
        <f>Form!$M$5+Form!M$6</f>
        <v>0</v>
      </c>
      <c r="M50" s="38">
        <f>IF(C50+D50=Form!M$5+Form!M$6,1,0)</f>
        <v>1</v>
      </c>
      <c r="N50" s="38">
        <f t="shared" si="13"/>
        <v>0</v>
      </c>
      <c r="O50" s="38">
        <f t="shared" si="15"/>
        <v>0</v>
      </c>
      <c r="P50" s="38">
        <f t="shared" si="16"/>
        <v>0</v>
      </c>
      <c r="Q50" s="38"/>
      <c r="R50" s="38"/>
      <c r="S50" s="38"/>
      <c r="T50" s="38"/>
      <c r="U50" s="38"/>
    </row>
    <row r="51" spans="1:21" x14ac:dyDescent="0.25">
      <c r="A51" s="38">
        <f t="shared" si="14"/>
        <v>0</v>
      </c>
      <c r="B51" s="38">
        <f t="shared" si="10"/>
        <v>0</v>
      </c>
      <c r="C51" s="38">
        <f t="shared" si="11"/>
        <v>0</v>
      </c>
      <c r="D51" s="38">
        <f t="shared" si="12"/>
        <v>0</v>
      </c>
      <c r="E51" s="38">
        <f>Form!D39</f>
        <v>0</v>
      </c>
      <c r="F51" s="38">
        <f>Form!F39</f>
        <v>0</v>
      </c>
      <c r="G51" s="38">
        <f>Form!H39</f>
        <v>0</v>
      </c>
      <c r="H51" s="38">
        <f>Form!J39</f>
        <v>0</v>
      </c>
      <c r="I51" s="41">
        <f>Form!L39</f>
        <v>0</v>
      </c>
      <c r="J51" s="41">
        <f>Form!N39</f>
        <v>0</v>
      </c>
      <c r="K51" s="38">
        <f>Form!P39</f>
        <v>0</v>
      </c>
      <c r="L51" s="46">
        <f>Form!$M$5+Form!M$6</f>
        <v>0</v>
      </c>
      <c r="M51" s="38">
        <f>IF(C51+D51=Form!M$5+Form!M$6,1,0)</f>
        <v>1</v>
      </c>
      <c r="N51" s="38">
        <f t="shared" si="13"/>
        <v>0</v>
      </c>
      <c r="O51" s="38">
        <f t="shared" si="15"/>
        <v>0</v>
      </c>
      <c r="P51" s="38">
        <f t="shared" si="16"/>
        <v>0</v>
      </c>
      <c r="Q51" s="38"/>
      <c r="R51" s="38"/>
      <c r="S51" s="38"/>
      <c r="T51" s="38"/>
      <c r="U51" s="38"/>
    </row>
    <row r="52" spans="1:21" x14ac:dyDescent="0.25">
      <c r="A52" s="38">
        <f t="shared" si="14"/>
        <v>0</v>
      </c>
      <c r="B52" s="38">
        <f t="shared" si="10"/>
        <v>0</v>
      </c>
      <c r="C52" s="38">
        <f t="shared" si="11"/>
        <v>0</v>
      </c>
      <c r="D52" s="38">
        <f t="shared" si="12"/>
        <v>0</v>
      </c>
      <c r="E52" s="38">
        <f>Form!D40</f>
        <v>0</v>
      </c>
      <c r="F52" s="38">
        <f>Form!F40</f>
        <v>0</v>
      </c>
      <c r="G52" s="38">
        <f>Form!H40</f>
        <v>0</v>
      </c>
      <c r="H52" s="38">
        <f>Form!J40</f>
        <v>0</v>
      </c>
      <c r="I52" s="41">
        <f>Form!L40</f>
        <v>0</v>
      </c>
      <c r="J52" s="41">
        <f>Form!N40</f>
        <v>0</v>
      </c>
      <c r="K52" s="38">
        <f>Form!P40</f>
        <v>0</v>
      </c>
      <c r="L52" s="46">
        <f>Form!$M$5+Form!M$6</f>
        <v>0</v>
      </c>
      <c r="M52" s="38">
        <f>IF(C52+D52=Form!M$5+Form!M$6,1,0)</f>
        <v>1</v>
      </c>
      <c r="N52" s="38">
        <f t="shared" si="13"/>
        <v>0</v>
      </c>
      <c r="O52" s="38">
        <f t="shared" si="15"/>
        <v>0</v>
      </c>
      <c r="P52" s="38">
        <f t="shared" si="16"/>
        <v>0</v>
      </c>
      <c r="Q52" s="38"/>
      <c r="R52" s="38"/>
      <c r="S52" s="38"/>
      <c r="T52" s="38"/>
      <c r="U52" s="38"/>
    </row>
    <row r="53" spans="1:21" x14ac:dyDescent="0.25">
      <c r="A53" s="38">
        <f t="shared" si="14"/>
        <v>0</v>
      </c>
      <c r="B53" s="38">
        <f t="shared" si="10"/>
        <v>0</v>
      </c>
      <c r="C53" s="38">
        <f t="shared" si="11"/>
        <v>0</v>
      </c>
      <c r="D53" s="38">
        <f t="shared" si="12"/>
        <v>0</v>
      </c>
      <c r="E53" s="38">
        <f>Form!D41</f>
        <v>0</v>
      </c>
      <c r="F53" s="38">
        <f>Form!F41</f>
        <v>0</v>
      </c>
      <c r="G53" s="38">
        <f>Form!H41</f>
        <v>0</v>
      </c>
      <c r="H53" s="38">
        <f>Form!J41</f>
        <v>0</v>
      </c>
      <c r="I53" s="38">
        <f>Form!L41</f>
        <v>0</v>
      </c>
      <c r="J53" s="38">
        <f>Form!N41</f>
        <v>0</v>
      </c>
      <c r="K53" s="38">
        <f>Form!P41</f>
        <v>0</v>
      </c>
      <c r="L53" s="46">
        <f>Form!$M$5+Form!M$6</f>
        <v>0</v>
      </c>
      <c r="M53" s="38">
        <f>IF(C53+D53=Form!M$5+Form!M$6,1,0)</f>
        <v>1</v>
      </c>
      <c r="N53" s="38">
        <f t="shared" si="13"/>
        <v>0</v>
      </c>
      <c r="O53" s="38">
        <f t="shared" si="15"/>
        <v>0</v>
      </c>
      <c r="P53" s="38">
        <f t="shared" si="16"/>
        <v>0</v>
      </c>
      <c r="Q53" s="38"/>
      <c r="R53" s="38"/>
      <c r="S53" s="38"/>
      <c r="T53" s="38"/>
      <c r="U53" s="38"/>
    </row>
    <row r="54" spans="1:21" x14ac:dyDescent="0.25">
      <c r="A54" s="38">
        <f t="shared" si="14"/>
        <v>0</v>
      </c>
      <c r="B54" s="38">
        <f t="shared" si="10"/>
        <v>0</v>
      </c>
      <c r="C54" s="38">
        <f t="shared" si="11"/>
        <v>0</v>
      </c>
      <c r="D54" s="38">
        <f t="shared" si="12"/>
        <v>0</v>
      </c>
      <c r="E54" s="38">
        <f>Form!D42</f>
        <v>0</v>
      </c>
      <c r="F54" s="38">
        <f>Form!F42</f>
        <v>0</v>
      </c>
      <c r="G54" s="38">
        <f>Form!H42</f>
        <v>0</v>
      </c>
      <c r="H54" s="38">
        <f>Form!J42</f>
        <v>0</v>
      </c>
      <c r="I54" s="38">
        <f>Form!L42</f>
        <v>0</v>
      </c>
      <c r="J54" s="38">
        <f>Form!N42</f>
        <v>0</v>
      </c>
      <c r="K54" s="38">
        <f>Form!P42</f>
        <v>0</v>
      </c>
      <c r="L54" s="46">
        <f>Form!$M$5+Form!M$6</f>
        <v>0</v>
      </c>
      <c r="M54" s="38">
        <f>IF(C54+D54=Form!M$5+Form!M$6,1,0)</f>
        <v>1</v>
      </c>
      <c r="N54" s="38">
        <f t="shared" si="13"/>
        <v>0</v>
      </c>
      <c r="O54" s="38">
        <f t="shared" si="15"/>
        <v>0</v>
      </c>
      <c r="P54" s="38">
        <f t="shared" si="16"/>
        <v>0</v>
      </c>
      <c r="Q54" s="38"/>
      <c r="R54" s="38"/>
      <c r="S54" s="38"/>
      <c r="T54" s="38"/>
      <c r="U54" s="38"/>
    </row>
    <row r="55" spans="1:21" x14ac:dyDescent="0.25">
      <c r="A55" s="38">
        <f t="shared" si="14"/>
        <v>0</v>
      </c>
      <c r="B55" s="38">
        <f>SUM(B43:B54)</f>
        <v>0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</row>
    <row r="56" spans="1:21" x14ac:dyDescent="0.25">
      <c r="A56" s="38"/>
      <c r="B56" s="38"/>
      <c r="C56" s="38"/>
      <c r="D56" s="38"/>
      <c r="E56" s="38"/>
      <c r="F56" s="38">
        <f>IF(AND(F42&gt;Form!$M$4,E42&lt;Form!$M$4),2,0)</f>
        <v>0</v>
      </c>
      <c r="G56" s="38">
        <f>IF(AND(G42&gt;Form!$M$4,F42&lt;Form!$M$4),2,0)</f>
        <v>0</v>
      </c>
      <c r="H56" s="38">
        <f>IF(AND(H42&gt;Form!$M$4,G42&lt;Form!$M$4),2,0)</f>
        <v>0</v>
      </c>
      <c r="I56" s="38">
        <f>IF(AND(I42&gt;Form!$M$4,H42&lt;Form!$M$4),2,0)</f>
        <v>0</v>
      </c>
      <c r="J56" s="38">
        <f>IF(AND(J42&gt;Form!$M$4,I42&lt;Form!$M$4),2,0)</f>
        <v>0</v>
      </c>
      <c r="K56" s="38">
        <f>IF(AND(K42&gt;Form!$M$4,J42&lt;Form!$M$4),2,0)</f>
        <v>0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</row>
    <row r="57" spans="1:21" x14ac:dyDescent="0.25">
      <c r="A57" s="38"/>
      <c r="B57" s="38"/>
      <c r="C57" s="38" t="e">
        <f>HLOOKUP(1,E41:K42,2,FALSE)</f>
        <v>#N/A</v>
      </c>
      <c r="D57" s="38"/>
      <c r="E57" s="38">
        <f>IF(F56=2,1,0)</f>
        <v>0</v>
      </c>
      <c r="F57" s="38">
        <f t="shared" ref="F57:K57" si="17">IF(G56=2,1,0)</f>
        <v>0</v>
      </c>
      <c r="G57" s="38">
        <f t="shared" si="17"/>
        <v>0</v>
      </c>
      <c r="H57" s="38">
        <f t="shared" si="17"/>
        <v>0</v>
      </c>
      <c r="I57" s="38">
        <f t="shared" si="17"/>
        <v>0</v>
      </c>
      <c r="J57" s="38">
        <f t="shared" si="17"/>
        <v>0</v>
      </c>
      <c r="K57" s="38">
        <f t="shared" si="17"/>
        <v>0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</row>
    <row r="58" spans="1:21" x14ac:dyDescent="0.25">
      <c r="A58" s="38"/>
      <c r="C58" s="38" t="e">
        <f>HLOOKUP(2,E41:K42,2,FALSE)</f>
        <v>#N/A</v>
      </c>
      <c r="D58" s="38"/>
      <c r="E58" s="38">
        <f t="shared" ref="E58:K58" si="18">SUM(E56:E57)</f>
        <v>0</v>
      </c>
      <c r="F58" s="38">
        <f t="shared" si="18"/>
        <v>0</v>
      </c>
      <c r="G58" s="38">
        <f t="shared" si="18"/>
        <v>0</v>
      </c>
      <c r="H58" s="38">
        <f t="shared" si="18"/>
        <v>0</v>
      </c>
      <c r="I58" s="38">
        <f t="shared" si="18"/>
        <v>0</v>
      </c>
      <c r="J58" s="38">
        <f t="shared" si="18"/>
        <v>0</v>
      </c>
      <c r="K58" s="38">
        <f t="shared" si="18"/>
        <v>0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</row>
    <row r="59" spans="1:21" x14ac:dyDescent="0.25">
      <c r="A59" s="38"/>
      <c r="B59" s="38" t="e">
        <f>(VLOOKUP(1,B41:K54,3,FALSE))</f>
        <v>#N/A</v>
      </c>
      <c r="C59" s="38">
        <f>IF(ISERROR(B59),0,B59)</f>
        <v>0</v>
      </c>
      <c r="D59" s="38"/>
      <c r="E59" s="38" t="e">
        <f>(C61-C62)/(C59-C60)*(Form!$M$6-C60)+C62</f>
        <v>#N/A</v>
      </c>
      <c r="F59" s="38" t="e">
        <f>(C63-C64)/(C59-C60)*(Form!M6-C60)+C64</f>
        <v>#N/A</v>
      </c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</row>
    <row r="60" spans="1:21" x14ac:dyDescent="0.25">
      <c r="A60" s="38"/>
      <c r="B60" s="38" t="e">
        <f>VLOOKUP(2,B41:K54,3,FALSE)</f>
        <v>#N/A</v>
      </c>
      <c r="C60" s="38">
        <f>IF(ISERROR(B60),0,B60)</f>
        <v>0</v>
      </c>
      <c r="D60" s="38"/>
      <c r="E60" s="40">
        <f>IF(AND(B55=0,L41=3),VLOOKUP(Form!$M$5+Form!$M$6,notes!A41:K54,MATCH(1,notes!A41:K41,FALSE),FALSE),0)</f>
        <v>0</v>
      </c>
      <c r="F60" s="38">
        <f>IF(AND(B55=0,L41=3),VLOOKUP(Form!$M$5+Form!$M$6,notes!A41:K54,MATCH(2,notes!A41:K41,FALSE),FALSE),0)</f>
        <v>0</v>
      </c>
      <c r="G60" s="38"/>
      <c r="H60" s="38"/>
      <c r="I60" s="38" t="s">
        <v>37</v>
      </c>
      <c r="J60" s="38"/>
      <c r="M60" s="38"/>
      <c r="N60" s="38"/>
      <c r="O60" s="38"/>
      <c r="P60" s="38"/>
      <c r="Q60" s="38"/>
      <c r="R60" s="38"/>
      <c r="S60" s="38"/>
      <c r="T60" s="38"/>
      <c r="U60" s="38"/>
    </row>
    <row r="61" spans="1:21" x14ac:dyDescent="0.25">
      <c r="A61" s="38"/>
      <c r="B61" s="38" t="e">
        <f>VLOOKUP(1,B41:K54,MATCH(1,B41:K41,FALSE),FALSE)</f>
        <v>#N/A</v>
      </c>
      <c r="C61" s="38" t="e">
        <f>MIN(B61,B63)</f>
        <v>#N/A</v>
      </c>
      <c r="D61" s="38"/>
      <c r="E61" s="38">
        <f>IF(ISERROR(E59),E60,E59)</f>
        <v>0</v>
      </c>
      <c r="F61" s="38">
        <f>IF(ISERROR(F59),F60,F59)</f>
        <v>0</v>
      </c>
      <c r="G61" s="38"/>
      <c r="H61" s="38"/>
      <c r="I61" s="38" t="s">
        <v>34</v>
      </c>
      <c r="J61" s="38" t="s">
        <v>35</v>
      </c>
      <c r="K61" s="38" t="s">
        <v>39</v>
      </c>
      <c r="L61" s="38" t="s">
        <v>40</v>
      </c>
      <c r="M61" s="38" t="s">
        <v>41</v>
      </c>
      <c r="N61" s="38" t="s">
        <v>38</v>
      </c>
      <c r="O61" s="38"/>
      <c r="P61" s="38"/>
      <c r="Q61" s="38"/>
      <c r="R61" s="38"/>
      <c r="S61" s="38"/>
      <c r="T61" s="38"/>
      <c r="U61" s="38"/>
    </row>
    <row r="62" spans="1:21" x14ac:dyDescent="0.25">
      <c r="A62" s="38"/>
      <c r="B62" s="38" t="e">
        <f>VLOOKUP(2,B41:K54,MATCH(1,B41:K41,FALSE),FALSE)</f>
        <v>#N/A</v>
      </c>
      <c r="C62" s="38" t="e">
        <f>MAX(B62,B64)</f>
        <v>#N/A</v>
      </c>
      <c r="D62" s="38"/>
      <c r="E62" s="37">
        <f>MIN(E61:F61)</f>
        <v>0</v>
      </c>
      <c r="F62" s="37">
        <f>MAX(E61:F61)</f>
        <v>0</v>
      </c>
      <c r="G62" s="38"/>
      <c r="H62" s="38"/>
      <c r="I62" s="38" t="s">
        <v>35</v>
      </c>
      <c r="J62" s="38" t="s">
        <v>35</v>
      </c>
      <c r="K62" s="38">
        <f>IF(ISERROR(VLOOKUP(Form!$M$5+Form!$M$6,notes!A42:K54,MATCH(Form!$M$4,notes!A42:K42,FALSE),FALSE)),0,VLOOKUP(Form!$M$5+Form!$M$6,notes!A42:K54,MATCH(Form!$M$4,notes!A42:K42,FALSE),FALSE))</f>
        <v>0</v>
      </c>
      <c r="L62" s="38"/>
      <c r="M62" s="38"/>
      <c r="N62" s="38">
        <f>SUM(K62:M62)</f>
        <v>0</v>
      </c>
      <c r="O62" s="38"/>
      <c r="P62" s="38"/>
      <c r="Q62" s="38"/>
      <c r="R62" s="38"/>
      <c r="S62" s="38"/>
      <c r="T62" s="38"/>
      <c r="U62" s="38"/>
    </row>
    <row r="63" spans="1:21" x14ac:dyDescent="0.25">
      <c r="A63" s="38"/>
      <c r="B63" s="38" t="e">
        <f>VLOOKUP(1,B41:K54,MATCH(2,B41:K41,FALSE),FALSE)</f>
        <v>#N/A</v>
      </c>
      <c r="C63" s="38" t="e">
        <f>MAX(B63,B61)</f>
        <v>#N/A</v>
      </c>
      <c r="D63" s="38"/>
      <c r="E63" s="38" t="e">
        <f>(E62-F62)/(C58-C57)*(Form!$M$4-C57)+F62</f>
        <v>#N/A</v>
      </c>
      <c r="F63" s="39"/>
      <c r="G63" s="38"/>
      <c r="H63" s="38"/>
      <c r="I63" s="38" t="s">
        <v>35</v>
      </c>
      <c r="J63" s="38" t="s">
        <v>36</v>
      </c>
      <c r="K63" s="38"/>
      <c r="L63" s="38"/>
      <c r="M63" s="38"/>
      <c r="N63" s="38">
        <f>SUM(K63:M63)</f>
        <v>0</v>
      </c>
      <c r="O63" s="38"/>
      <c r="P63" s="38"/>
      <c r="Q63" s="38"/>
      <c r="R63" s="38"/>
      <c r="S63" s="38"/>
      <c r="T63" s="38"/>
      <c r="U63" s="38"/>
    </row>
    <row r="64" spans="1:21" x14ac:dyDescent="0.25">
      <c r="A64" s="38"/>
      <c r="B64" s="38" t="e">
        <f>VLOOKUP(2,B41:K54,MATCH(2,B41:K41,FALSE),FALSE)</f>
        <v>#N/A</v>
      </c>
      <c r="C64" s="38" t="e">
        <f>MIN(B62,B64)</f>
        <v>#N/A</v>
      </c>
      <c r="D64" s="38"/>
      <c r="E64" s="40"/>
      <c r="F64" s="38"/>
      <c r="G64" s="38"/>
      <c r="H64" s="38"/>
      <c r="I64" s="38" t="s">
        <v>36</v>
      </c>
      <c r="J64" s="38" t="s">
        <v>36</v>
      </c>
      <c r="K64" s="38" t="e">
        <f>IF(OR(E63&gt;100000,E63&lt;=0),0,E63)</f>
        <v>#N/A</v>
      </c>
      <c r="L64" s="38" t="e">
        <f>IF(K64&lt;&gt;0,0,MIN(E59:F59))</f>
        <v>#N/A</v>
      </c>
      <c r="M64" s="38" t="e">
        <f>IF(AND(L64=0,K64=0),C61,0)</f>
        <v>#N/A</v>
      </c>
      <c r="N64" s="38" t="e">
        <f>SUM(K64:M64)</f>
        <v>#N/A</v>
      </c>
      <c r="O64" s="38"/>
      <c r="P64" s="38"/>
      <c r="Q64" s="38"/>
      <c r="R64" s="38"/>
      <c r="S64" s="38"/>
      <c r="T64" s="38"/>
      <c r="U64" s="38"/>
    </row>
    <row r="65" spans="2:14" x14ac:dyDescent="0.25">
      <c r="B65" s="37" t="e">
        <f>VLOOKUP(Form!M32+Form!M33,A41:K54,MATCH(2,A41:K41,FALSE),FALSE)</f>
        <v>#N/A</v>
      </c>
      <c r="I65" s="38"/>
      <c r="J65" s="38"/>
      <c r="N65" s="38">
        <f>IF(ISERROR(N64),N62,N64)</f>
        <v>0</v>
      </c>
    </row>
    <row r="69" spans="2:14" x14ac:dyDescent="0.25">
      <c r="C69" s="42"/>
      <c r="D69" s="42"/>
      <c r="E69" s="42"/>
      <c r="F69" s="42"/>
      <c r="G69" s="42"/>
      <c r="H69" s="42"/>
      <c r="I69" s="45"/>
    </row>
    <row r="70" spans="2:14" x14ac:dyDescent="0.25">
      <c r="C70" s="42"/>
      <c r="D70" s="42"/>
      <c r="E70" s="42"/>
      <c r="F70" s="42"/>
      <c r="G70" s="42"/>
      <c r="H70" s="42"/>
      <c r="I70" s="42"/>
    </row>
    <row r="71" spans="2:14" x14ac:dyDescent="0.25">
      <c r="C71" s="42"/>
      <c r="D71" s="42"/>
      <c r="E71" s="42"/>
      <c r="F71" s="42"/>
      <c r="G71" s="42"/>
      <c r="H71" s="42"/>
      <c r="I71" s="42"/>
    </row>
    <row r="72" spans="2:14" x14ac:dyDescent="0.25">
      <c r="C72" s="42"/>
      <c r="D72" s="42"/>
      <c r="E72" s="42"/>
      <c r="F72" s="42"/>
      <c r="G72" s="42"/>
      <c r="H72" s="42"/>
      <c r="I72" s="42"/>
    </row>
    <row r="73" spans="2:14" x14ac:dyDescent="0.25">
      <c r="C73" s="42"/>
      <c r="D73" s="42"/>
      <c r="E73" s="42"/>
      <c r="F73" s="43"/>
      <c r="G73" s="42"/>
      <c r="H73" s="42"/>
      <c r="I73" s="42"/>
    </row>
    <row r="74" spans="2:14" x14ac:dyDescent="0.25">
      <c r="C74" s="42"/>
      <c r="D74" s="42"/>
      <c r="E74" s="43"/>
      <c r="F74" s="44"/>
      <c r="G74" s="42"/>
      <c r="H74" s="42"/>
      <c r="I74" s="42"/>
    </row>
    <row r="75" spans="2:14" x14ac:dyDescent="0.25">
      <c r="C75" s="42"/>
      <c r="D75" s="42"/>
      <c r="E75" s="42"/>
      <c r="F75" s="42"/>
      <c r="G75" s="42"/>
      <c r="H75" s="42"/>
      <c r="I75" s="42"/>
    </row>
    <row r="76" spans="2:14" x14ac:dyDescent="0.25">
      <c r="C76" s="42"/>
      <c r="D76" s="43"/>
      <c r="E76" s="42"/>
      <c r="F76" s="42"/>
      <c r="G76" s="42"/>
      <c r="H76" s="42"/>
      <c r="I76" s="42"/>
    </row>
    <row r="77" spans="2:14" x14ac:dyDescent="0.25">
      <c r="C77" s="42"/>
      <c r="D77" s="42"/>
      <c r="E77" s="42"/>
      <c r="F77" s="42"/>
      <c r="G77" s="42"/>
      <c r="H77" s="42"/>
      <c r="I77" s="42"/>
    </row>
    <row r="78" spans="2:14" x14ac:dyDescent="0.25">
      <c r="C78" s="42"/>
      <c r="D78" s="42"/>
      <c r="E78" s="42"/>
      <c r="F78" s="42"/>
      <c r="G78" s="42"/>
      <c r="H78" s="42"/>
      <c r="I78" s="42"/>
    </row>
    <row r="79" spans="2:14" x14ac:dyDescent="0.25">
      <c r="C79" s="42"/>
      <c r="D79" s="42"/>
      <c r="E79" s="42"/>
      <c r="F79" s="42"/>
      <c r="G79" s="42"/>
      <c r="H79" s="42"/>
      <c r="I79" s="42"/>
    </row>
  </sheetData>
  <phoneticPr fontId="16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6:G17"/>
  <sheetViews>
    <sheetView showGridLines="0" tabSelected="1" topLeftCell="A7" workbookViewId="0">
      <selection activeCell="J10" sqref="J10"/>
    </sheetView>
  </sheetViews>
  <sheetFormatPr defaultRowHeight="15" x14ac:dyDescent="0.25"/>
  <sheetData>
    <row r="6" spans="2:7" ht="23.25" x14ac:dyDescent="0.35">
      <c r="B6" s="1" t="s">
        <v>10</v>
      </c>
      <c r="C6" s="1"/>
      <c r="D6" s="1"/>
      <c r="E6" s="1"/>
      <c r="F6" s="1"/>
      <c r="G6" s="1"/>
    </row>
    <row r="7" spans="2:7" ht="23.25" x14ac:dyDescent="0.35">
      <c r="B7" s="1" t="s">
        <v>11</v>
      </c>
      <c r="C7" s="1"/>
      <c r="D7" s="1"/>
      <c r="E7" s="1"/>
      <c r="F7" s="1"/>
      <c r="G7" s="1"/>
    </row>
    <row r="8" spans="2:7" ht="23.25" x14ac:dyDescent="0.35">
      <c r="B8" s="1"/>
      <c r="C8" s="1"/>
      <c r="D8" s="1"/>
      <c r="E8" s="1"/>
      <c r="F8" s="1"/>
      <c r="G8" s="1"/>
    </row>
    <row r="9" spans="2:7" ht="15.75" x14ac:dyDescent="0.25">
      <c r="B9" s="28" t="s">
        <v>21</v>
      </c>
    </row>
    <row r="10" spans="2:7" x14ac:dyDescent="0.25">
      <c r="B10" s="29" t="s">
        <v>22</v>
      </c>
    </row>
    <row r="11" spans="2:7" x14ac:dyDescent="0.25">
      <c r="B11" s="29" t="s">
        <v>23</v>
      </c>
    </row>
    <row r="12" spans="2:7" x14ac:dyDescent="0.25">
      <c r="B12" s="29" t="s">
        <v>24</v>
      </c>
    </row>
    <row r="13" spans="2:7" x14ac:dyDescent="0.25">
      <c r="B13" s="29" t="s">
        <v>25</v>
      </c>
    </row>
    <row r="14" spans="2:7" x14ac:dyDescent="0.25">
      <c r="B14" s="29" t="s">
        <v>53</v>
      </c>
    </row>
    <row r="17" spans="2:2" x14ac:dyDescent="0.25">
      <c r="B17" s="29" t="s">
        <v>75</v>
      </c>
    </row>
  </sheetData>
  <phoneticPr fontId="16" type="noConversion"/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>
      <selection activeCell="A19" sqref="A19"/>
    </sheetView>
  </sheetViews>
  <sheetFormatPr defaultRowHeight="15" x14ac:dyDescent="0.25"/>
  <cols>
    <col min="1" max="1" width="8.28515625" customWidth="1"/>
  </cols>
  <sheetData>
    <row r="1" spans="1:1" x14ac:dyDescent="0.25">
      <c r="A1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21"/>
  <sheetViews>
    <sheetView workbookViewId="0">
      <selection activeCell="A19" sqref="A19"/>
    </sheetView>
  </sheetViews>
  <sheetFormatPr defaultRowHeight="15" x14ac:dyDescent="0.25"/>
  <cols>
    <col min="1" max="1" width="8.85546875" customWidth="1"/>
    <col min="4" max="4" width="13.42578125" style="112" customWidth="1"/>
    <col min="5" max="5" width="8.42578125" customWidth="1"/>
    <col min="6" max="6" width="14" style="112" customWidth="1"/>
  </cols>
  <sheetData>
    <row r="1" spans="1:10" ht="15.75" thickBot="1" x14ac:dyDescent="0.3">
      <c r="A1" s="68"/>
      <c r="B1" s="68"/>
      <c r="C1" s="69"/>
      <c r="D1" s="70" t="s">
        <v>82</v>
      </c>
      <c r="E1" s="149"/>
      <c r="F1" s="150"/>
      <c r="G1" s="150"/>
      <c r="H1" s="150"/>
      <c r="I1" s="150"/>
      <c r="J1" s="151"/>
    </row>
    <row r="2" spans="1:10" ht="15.75" thickBot="1" x14ac:dyDescent="0.3">
      <c r="A2" s="68"/>
      <c r="B2" s="68"/>
      <c r="C2" s="69"/>
      <c r="D2" s="72" t="s">
        <v>15</v>
      </c>
      <c r="E2" s="152"/>
      <c r="F2" s="150"/>
      <c r="G2" s="150"/>
      <c r="H2" s="150"/>
      <c r="I2" s="150"/>
      <c r="J2" s="151"/>
    </row>
    <row r="3" spans="1:10" ht="15.75" thickBot="1" x14ac:dyDescent="0.3">
      <c r="A3" s="68"/>
      <c r="B3" s="68"/>
      <c r="C3" s="71"/>
      <c r="D3" s="72" t="s">
        <v>27</v>
      </c>
      <c r="E3" s="73">
        <v>100</v>
      </c>
      <c r="F3" s="137" t="s">
        <v>80</v>
      </c>
      <c r="G3" s="68"/>
      <c r="H3" s="68"/>
      <c r="I3" s="68"/>
      <c r="J3" s="68"/>
    </row>
    <row r="4" spans="1:10" ht="15.75" thickBot="1" x14ac:dyDescent="0.3">
      <c r="A4" s="68"/>
      <c r="B4" s="68"/>
      <c r="C4" s="71"/>
      <c r="D4" s="72" t="s">
        <v>28</v>
      </c>
      <c r="E4" s="74">
        <v>1265</v>
      </c>
      <c r="F4" s="69" t="s">
        <v>0</v>
      </c>
      <c r="G4" s="68"/>
      <c r="H4" s="68"/>
      <c r="I4" s="68"/>
      <c r="J4" s="68"/>
    </row>
    <row r="5" spans="1:10" ht="15.75" thickBot="1" x14ac:dyDescent="0.3">
      <c r="A5" s="68"/>
      <c r="B5" s="68"/>
      <c r="C5" s="71"/>
      <c r="D5" s="72" t="s">
        <v>29</v>
      </c>
      <c r="E5" s="74">
        <v>77.5</v>
      </c>
      <c r="F5" s="69" t="s">
        <v>31</v>
      </c>
      <c r="G5" s="68"/>
      <c r="H5" s="68"/>
      <c r="I5" s="68"/>
      <c r="J5" s="68"/>
    </row>
    <row r="6" spans="1:10" ht="15.75" thickBot="1" x14ac:dyDescent="0.3">
      <c r="A6" s="68"/>
      <c r="B6" s="68"/>
      <c r="C6" s="71"/>
      <c r="D6" s="72" t="s">
        <v>30</v>
      </c>
      <c r="E6" s="74">
        <v>60.6</v>
      </c>
      <c r="F6" s="137" t="s">
        <v>81</v>
      </c>
      <c r="G6" s="68"/>
      <c r="H6" s="68"/>
      <c r="I6" s="68"/>
      <c r="J6" s="68"/>
    </row>
    <row r="9" spans="1:10" ht="14.25" customHeight="1" x14ac:dyDescent="0.25">
      <c r="A9" t="s">
        <v>2</v>
      </c>
    </row>
    <row r="10" spans="1:10" x14ac:dyDescent="0.25">
      <c r="A10" s="118">
        <v>28.549999999999997</v>
      </c>
      <c r="B10" s="119" t="s">
        <v>50</v>
      </c>
    </row>
    <row r="11" spans="1:10" x14ac:dyDescent="0.25">
      <c r="A11" s="111"/>
    </row>
    <row r="12" spans="1:10" x14ac:dyDescent="0.25">
      <c r="A12" s="111"/>
      <c r="B12" s="113" t="s">
        <v>49</v>
      </c>
      <c r="C12" s="114">
        <f>A10-A14</f>
        <v>0.30799999999999983</v>
      </c>
      <c r="D12" s="116" t="s">
        <v>48</v>
      </c>
      <c r="E12" s="115">
        <f>C12/200</f>
        <v>1.5399999999999991E-3</v>
      </c>
      <c r="F12" s="117" t="s">
        <v>46</v>
      </c>
      <c r="G12" s="120">
        <f>A10-(65*E12)</f>
        <v>28.449899999999996</v>
      </c>
    </row>
    <row r="13" spans="1:10" x14ac:dyDescent="0.25">
      <c r="A13" s="111"/>
      <c r="G13" s="99"/>
    </row>
    <row r="14" spans="1:10" x14ac:dyDescent="0.25">
      <c r="A14" s="118">
        <v>28.241999999999997</v>
      </c>
      <c r="B14" s="119" t="s">
        <v>51</v>
      </c>
      <c r="G14" s="99"/>
    </row>
    <row r="15" spans="1:10" x14ac:dyDescent="0.25">
      <c r="G15" s="99"/>
    </row>
    <row r="16" spans="1:10" x14ac:dyDescent="0.25">
      <c r="A16" t="s">
        <v>52</v>
      </c>
      <c r="G16" s="99"/>
    </row>
    <row r="17" spans="1:7" x14ac:dyDescent="0.25">
      <c r="A17" s="118">
        <v>25.319999999999997</v>
      </c>
      <c r="B17" s="119" t="s">
        <v>50</v>
      </c>
      <c r="G17" s="99"/>
    </row>
    <row r="18" spans="1:7" x14ac:dyDescent="0.25">
      <c r="A18" s="111"/>
      <c r="G18" s="99"/>
    </row>
    <row r="19" spans="1:7" x14ac:dyDescent="0.25">
      <c r="A19" s="111"/>
      <c r="B19" s="113" t="s">
        <v>49</v>
      </c>
      <c r="C19" s="114">
        <f>A17-A21</f>
        <v>0.55439999999999756</v>
      </c>
      <c r="D19" s="116" t="s">
        <v>48</v>
      </c>
      <c r="E19" s="115">
        <f>C19/200</f>
        <v>2.771999999999988E-3</v>
      </c>
      <c r="F19" s="117" t="s">
        <v>47</v>
      </c>
      <c r="G19" s="120">
        <f>A17-(65*E19)</f>
        <v>25.139819999999997</v>
      </c>
    </row>
    <row r="20" spans="1:7" x14ac:dyDescent="0.25">
      <c r="A20" s="111"/>
    </row>
    <row r="21" spans="1:7" x14ac:dyDescent="0.25">
      <c r="A21" s="118">
        <v>24.765599999999999</v>
      </c>
      <c r="B21" s="119" t="s">
        <v>51</v>
      </c>
    </row>
  </sheetData>
  <mergeCells count="2">
    <mergeCell ref="E1:J1"/>
    <mergeCell ref="E2:J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theme="9" tint="-0.249977111117893"/>
    <pageSetUpPr fitToPage="1"/>
  </sheetPr>
  <dimension ref="A1:AS138"/>
  <sheetViews>
    <sheetView workbookViewId="0">
      <selection activeCell="C8" sqref="C8:P19"/>
    </sheetView>
  </sheetViews>
  <sheetFormatPr defaultRowHeight="12.75" x14ac:dyDescent="0.2"/>
  <cols>
    <col min="1" max="16384" width="9.140625" style="49"/>
  </cols>
  <sheetData>
    <row r="1" spans="1:45" x14ac:dyDescent="0.2">
      <c r="A1" s="48"/>
    </row>
    <row r="2" spans="1:45" ht="13.5" thickBot="1" x14ac:dyDescent="0.25">
      <c r="A2" s="49" t="s">
        <v>102</v>
      </c>
    </row>
    <row r="3" spans="1:45" ht="15" x14ac:dyDescent="0.25">
      <c r="A3" s="153" t="s">
        <v>20</v>
      </c>
      <c r="B3" s="154"/>
      <c r="C3" s="155" t="s">
        <v>5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7"/>
    </row>
    <row r="4" spans="1:45" ht="12.75" customHeight="1" x14ac:dyDescent="0.2">
      <c r="A4" s="50">
        <v>80</v>
      </c>
      <c r="B4" s="51" t="s">
        <v>19</v>
      </c>
      <c r="C4" s="158">
        <v>65</v>
      </c>
      <c r="D4" s="158"/>
      <c r="E4" s="158">
        <v>75</v>
      </c>
      <c r="F4" s="158"/>
      <c r="G4" s="158">
        <v>80</v>
      </c>
      <c r="H4" s="158"/>
      <c r="I4" s="158">
        <v>85</v>
      </c>
      <c r="J4" s="158"/>
      <c r="K4" s="158">
        <v>90</v>
      </c>
      <c r="L4" s="158"/>
      <c r="M4" s="158">
        <v>95</v>
      </c>
      <c r="N4" s="158"/>
      <c r="O4" s="158">
        <v>105</v>
      </c>
      <c r="P4" s="159"/>
    </row>
    <row r="5" spans="1:45" x14ac:dyDescent="0.2">
      <c r="A5" s="162" t="s">
        <v>0</v>
      </c>
      <c r="B5" s="164" t="s">
        <v>9</v>
      </c>
      <c r="C5" s="158" t="s">
        <v>1</v>
      </c>
      <c r="D5" s="158"/>
      <c r="E5" s="158" t="s">
        <v>1</v>
      </c>
      <c r="F5" s="158"/>
      <c r="G5" s="158" t="s">
        <v>1</v>
      </c>
      <c r="H5" s="158"/>
      <c r="I5" s="158" t="s">
        <v>1</v>
      </c>
      <c r="J5" s="158"/>
      <c r="K5" s="158" t="s">
        <v>1</v>
      </c>
      <c r="L5" s="158"/>
      <c r="M5" s="158" t="s">
        <v>1</v>
      </c>
      <c r="N5" s="158"/>
      <c r="O5" s="158" t="s">
        <v>1</v>
      </c>
      <c r="P5" s="159"/>
    </row>
    <row r="6" spans="1:45" ht="15" customHeight="1" x14ac:dyDescent="0.2">
      <c r="A6" s="162"/>
      <c r="B6" s="165"/>
      <c r="C6" s="160" t="s">
        <v>2</v>
      </c>
      <c r="D6" s="158" t="s">
        <v>3</v>
      </c>
      <c r="E6" s="160" t="s">
        <v>2</v>
      </c>
      <c r="F6" s="158" t="s">
        <v>3</v>
      </c>
      <c r="G6" s="158" t="s">
        <v>2</v>
      </c>
      <c r="H6" s="158" t="s">
        <v>3</v>
      </c>
      <c r="I6" s="158" t="s">
        <v>2</v>
      </c>
      <c r="J6" s="158" t="s">
        <v>3</v>
      </c>
      <c r="K6" s="158" t="s">
        <v>2</v>
      </c>
      <c r="L6" s="158" t="s">
        <v>3</v>
      </c>
      <c r="M6" s="158" t="s">
        <v>2</v>
      </c>
      <c r="N6" s="158" t="s">
        <v>3</v>
      </c>
      <c r="O6" s="158" t="s">
        <v>2</v>
      </c>
      <c r="P6" s="159" t="s">
        <v>3</v>
      </c>
    </row>
    <row r="7" spans="1:45" ht="15.75" customHeight="1" thickBot="1" x14ac:dyDescent="0.25">
      <c r="A7" s="163"/>
      <c r="B7" s="166"/>
      <c r="C7" s="161"/>
      <c r="D7" s="160"/>
      <c r="E7" s="161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7"/>
      <c r="R7" s="49" t="s">
        <v>26</v>
      </c>
      <c r="Y7" s="49" t="s">
        <v>12</v>
      </c>
      <c r="AF7" s="49" t="s">
        <v>83</v>
      </c>
      <c r="AM7" s="49" t="s">
        <v>84</v>
      </c>
    </row>
    <row r="8" spans="1:45" x14ac:dyDescent="0.2">
      <c r="A8" s="168">
        <v>700</v>
      </c>
      <c r="B8" s="52">
        <v>72</v>
      </c>
      <c r="C8" s="53">
        <f>R8*$M$14</f>
        <v>29.961290322580648</v>
      </c>
      <c r="D8" s="53">
        <f t="shared" ref="D8:D19" si="0">IF(AM8&gt;C8,C8,AM8)</f>
        <v>14.022580645161293</v>
      </c>
      <c r="E8" s="53">
        <f>S8*$M$14</f>
        <v>28.91612903225807</v>
      </c>
      <c r="F8" s="53">
        <f t="shared" ref="F8:F19" si="1">IF(AN8&gt;E8,E8,AN8)</f>
        <v>13.587096774193549</v>
      </c>
      <c r="G8" s="53">
        <f>T8*$M$14</f>
        <v>28.306451612903228</v>
      </c>
      <c r="H8" s="53">
        <f t="shared" ref="H8:H19" si="2">IF(AO8&gt;G8,G8,AO8)</f>
        <v>13.369354838709679</v>
      </c>
      <c r="I8" s="53">
        <f>U8*$M$14</f>
        <v>27.696774193548389</v>
      </c>
      <c r="J8" s="53">
        <f t="shared" ref="J8:J19" si="3">IF(AP8&gt;I8,I8,AP8)</f>
        <v>13.151612903225807</v>
      </c>
      <c r="K8" s="53">
        <f>V8*$M$14</f>
        <v>27.000000000000004</v>
      </c>
      <c r="L8" s="53">
        <f t="shared" ref="L8:L19" si="4">IF(AQ8&gt;K8,K8,AQ8)</f>
        <v>12.933870967741937</v>
      </c>
      <c r="M8" s="53">
        <f>W8*$M$14</f>
        <v>26.303225806451614</v>
      </c>
      <c r="N8" s="53">
        <f t="shared" ref="N8:N19" si="5">IF(AR8&gt;M8,M8,AR8)</f>
        <v>12.716129032258065</v>
      </c>
      <c r="O8" s="53">
        <f>X8*$M$14</f>
        <v>24.822580645161292</v>
      </c>
      <c r="P8" s="54">
        <f t="shared" ref="P8:P19" si="6">IF(AS8&gt;O8,O8,AS8)</f>
        <v>12.193548387096774</v>
      </c>
      <c r="R8" s="146">
        <v>1.2329749103942653</v>
      </c>
      <c r="S8" s="146">
        <v>1.1899641577060933</v>
      </c>
      <c r="T8" s="146">
        <v>1.1648745519713262</v>
      </c>
      <c r="U8" s="146">
        <v>1.1397849462365592</v>
      </c>
      <c r="V8" s="146">
        <v>1.1111111111111112</v>
      </c>
      <c r="W8" s="146">
        <v>1.0824372759856631</v>
      </c>
      <c r="X8" s="146">
        <v>1.021505376344086</v>
      </c>
      <c r="Y8" s="147">
        <v>0.46802325581395354</v>
      </c>
      <c r="Z8" s="147">
        <v>0.46987951807228912</v>
      </c>
      <c r="AA8" s="147">
        <v>0.47230769230769232</v>
      </c>
      <c r="AB8" s="147">
        <v>0.47484276729559749</v>
      </c>
      <c r="AC8" s="147">
        <v>0.4790322580645161</v>
      </c>
      <c r="AD8" s="147">
        <v>0.48344370860927155</v>
      </c>
      <c r="AE8" s="147">
        <v>0.49122807017543857</v>
      </c>
      <c r="AF8" s="148">
        <v>1.0285714285714291</v>
      </c>
      <c r="AG8" s="148">
        <v>0.94285714285714306</v>
      </c>
      <c r="AH8" s="148">
        <v>0.91428571428571515</v>
      </c>
      <c r="AI8" s="148">
        <v>0.88571428571428623</v>
      </c>
      <c r="AJ8" s="148">
        <v>0.87142857142857166</v>
      </c>
      <c r="AK8" s="148">
        <v>0.8571428571428571</v>
      </c>
      <c r="AL8" s="148">
        <v>0.8571428571428571</v>
      </c>
      <c r="AM8" s="138">
        <f>Y8*C8+($A$4-80)*AF8*$A$8/1000</f>
        <v>14.022580645161293</v>
      </c>
      <c r="AN8" s="138">
        <f>Z8*E8+($A$4-80)*AG8*$A$8/1000</f>
        <v>13.587096774193549</v>
      </c>
      <c r="AO8" s="138">
        <f>AA8*G8+($A$4-80)*AH8*$A$8/1000</f>
        <v>13.369354838709679</v>
      </c>
      <c r="AP8" s="138">
        <f>AB8*I8+($A$4-80)*AI8*$A$8/1000</f>
        <v>13.151612903225807</v>
      </c>
      <c r="AQ8" s="138">
        <f>AC8*K8+($A$4-80)*AJ8*$A$8/1000</f>
        <v>12.933870967741937</v>
      </c>
      <c r="AR8" s="138">
        <f>AD8*M8+($A$4-80)*AK8*$A$8/1000</f>
        <v>12.716129032258065</v>
      </c>
      <c r="AS8" s="138">
        <f>AE8*O8+($A$4-80)*AL8*$A$8/1000</f>
        <v>12.193548387096774</v>
      </c>
    </row>
    <row r="9" spans="1:45" x14ac:dyDescent="0.2">
      <c r="A9" s="169"/>
      <c r="B9" s="55">
        <v>69.5</v>
      </c>
      <c r="C9" s="56">
        <f t="shared" ref="C9:C19" si="7">R9*$M$14</f>
        <v>28.567741935483873</v>
      </c>
      <c r="D9" s="56">
        <f t="shared" si="0"/>
        <v>15.590322580645164</v>
      </c>
      <c r="E9" s="56">
        <f t="shared" ref="E9:E19" si="8">S9*$M$14</f>
        <v>27.435483870967744</v>
      </c>
      <c r="F9" s="56">
        <f t="shared" si="1"/>
        <v>15.111290322580647</v>
      </c>
      <c r="G9" s="56">
        <f t="shared" ref="G9:G19" si="9">T9*$M$14</f>
        <v>26.825806451612905</v>
      </c>
      <c r="H9" s="56">
        <f t="shared" si="2"/>
        <v>14.893548387096777</v>
      </c>
      <c r="I9" s="56">
        <f t="shared" ref="I9:I19" si="10">U9*$M$14</f>
        <v>26.216129032258067</v>
      </c>
      <c r="J9" s="56">
        <f t="shared" si="3"/>
        <v>14.675806451612907</v>
      </c>
      <c r="K9" s="56">
        <f t="shared" ref="K9:K19" si="11">V9*$M$14</f>
        <v>25.58467741935484</v>
      </c>
      <c r="L9" s="56">
        <f t="shared" si="4"/>
        <v>14.436290322580644</v>
      </c>
      <c r="M9" s="56">
        <f t="shared" ref="M9:M13" si="12">W9*$M$14</f>
        <v>24.953225806451613</v>
      </c>
      <c r="N9" s="56">
        <f t="shared" si="5"/>
        <v>14.196774193548388</v>
      </c>
      <c r="O9" s="56">
        <f t="shared" ref="O9:O19" si="13">X9*$M$14</f>
        <v>23.603225806451615</v>
      </c>
      <c r="P9" s="57">
        <f t="shared" si="6"/>
        <v>13.717741935483872</v>
      </c>
      <c r="R9" s="146">
        <v>1.1756272401433692</v>
      </c>
      <c r="S9" s="146">
        <v>1.1290322580645162</v>
      </c>
      <c r="T9" s="146">
        <v>1.1039426523297491</v>
      </c>
      <c r="U9" s="146">
        <v>1.0788530465949822</v>
      </c>
      <c r="V9" s="146">
        <v>1.0528673835125448</v>
      </c>
      <c r="W9" s="146">
        <v>1.0268817204301075</v>
      </c>
      <c r="X9" s="146">
        <v>0.97132616487455203</v>
      </c>
      <c r="Y9" s="147">
        <v>0.54573170731707321</v>
      </c>
      <c r="Z9" s="147">
        <v>0.55079365079365084</v>
      </c>
      <c r="AA9" s="147">
        <v>0.55519480519480524</v>
      </c>
      <c r="AB9" s="147">
        <v>0.5598006644518273</v>
      </c>
      <c r="AC9" s="147">
        <v>0.56425531914893612</v>
      </c>
      <c r="AD9" s="147">
        <v>0.56893542757417104</v>
      </c>
      <c r="AE9" s="147">
        <v>0.58118081180811809</v>
      </c>
      <c r="AF9" s="148">
        <v>1.0285714285714291</v>
      </c>
      <c r="AG9" s="148">
        <v>0.94285714285714306</v>
      </c>
      <c r="AH9" s="148">
        <v>0.91428571428571515</v>
      </c>
      <c r="AI9" s="148">
        <v>0.88571428571428623</v>
      </c>
      <c r="AJ9" s="148">
        <v>0.87142857142857166</v>
      </c>
      <c r="AK9" s="148">
        <v>0.8571428571428571</v>
      </c>
      <c r="AL9" s="148">
        <v>0.8571428571428571</v>
      </c>
      <c r="AM9" s="138">
        <f>Y9*C9+($A$4-80)*AF9*$A$8/1000</f>
        <v>15.590322580645164</v>
      </c>
      <c r="AN9" s="138">
        <f>Z9*E9+($A$4-80)*AG9*$A$8/1000</f>
        <v>15.111290322580647</v>
      </c>
      <c r="AO9" s="138">
        <f>AA9*G9+($A$4-80)*AH9*$A$8/1000</f>
        <v>14.893548387096777</v>
      </c>
      <c r="AP9" s="138">
        <f>AB9*I9+($A$4-80)*AI9*$A$8/1000</f>
        <v>14.675806451612907</v>
      </c>
      <c r="AQ9" s="138">
        <f>AC9*K9+($A$4-80)*AJ9*$A$8/1000</f>
        <v>14.436290322580644</v>
      </c>
      <c r="AR9" s="138">
        <f>AD9*M9+($A$4-80)*AK9*$A$8/1000</f>
        <v>14.196774193548388</v>
      </c>
      <c r="AS9" s="138">
        <f>AE9*O9+($A$4-80)*AL9*$A$8/1000</f>
        <v>13.717741935483872</v>
      </c>
    </row>
    <row r="10" spans="1:45" x14ac:dyDescent="0.2">
      <c r="A10" s="169"/>
      <c r="B10" s="55">
        <v>67</v>
      </c>
      <c r="C10" s="56">
        <f t="shared" si="7"/>
        <v>27.174193548387102</v>
      </c>
      <c r="D10" s="58">
        <f t="shared" si="0"/>
        <v>17.158064516129034</v>
      </c>
      <c r="E10" s="56">
        <f t="shared" si="8"/>
        <v>25.954838709677421</v>
      </c>
      <c r="F10" s="58">
        <f t="shared" si="1"/>
        <v>16.635483870967743</v>
      </c>
      <c r="G10" s="56">
        <f t="shared" si="9"/>
        <v>25.345161290322586</v>
      </c>
      <c r="H10" s="56">
        <f t="shared" si="2"/>
        <v>16.417741935483875</v>
      </c>
      <c r="I10" s="56">
        <f t="shared" si="10"/>
        <v>24.735483870967744</v>
      </c>
      <c r="J10" s="56">
        <f t="shared" si="3"/>
        <v>16.200000000000006</v>
      </c>
      <c r="K10" s="56">
        <f t="shared" si="11"/>
        <v>24.16935483870968</v>
      </c>
      <c r="L10" s="58">
        <f t="shared" si="4"/>
        <v>15.938709677419357</v>
      </c>
      <c r="M10" s="56">
        <f t="shared" si="12"/>
        <v>23.603225806451615</v>
      </c>
      <c r="N10" s="58">
        <f t="shared" si="5"/>
        <v>15.677419354838712</v>
      </c>
      <c r="O10" s="56">
        <f t="shared" si="13"/>
        <v>22.383870967741938</v>
      </c>
      <c r="P10" s="59">
        <f t="shared" si="6"/>
        <v>15.24193548387097</v>
      </c>
      <c r="R10" s="146">
        <v>1.1182795698924732</v>
      </c>
      <c r="S10" s="146">
        <v>1.0681003584229392</v>
      </c>
      <c r="T10" s="146">
        <v>1.0430107526881722</v>
      </c>
      <c r="U10" s="146">
        <v>1.0179211469534051</v>
      </c>
      <c r="V10" s="146">
        <v>0.9946236559139785</v>
      </c>
      <c r="W10" s="146">
        <v>0.97132616487455203</v>
      </c>
      <c r="X10" s="146">
        <v>0.92114695340501795</v>
      </c>
      <c r="Y10" s="147">
        <v>0.63141025641025639</v>
      </c>
      <c r="Z10" s="147">
        <v>0.64093959731543626</v>
      </c>
      <c r="AA10" s="147">
        <v>0.64776632302405501</v>
      </c>
      <c r="AB10" s="147">
        <v>0.65492957746478886</v>
      </c>
      <c r="AC10" s="147">
        <v>0.6594594594594595</v>
      </c>
      <c r="AD10" s="147">
        <v>0.66420664206642066</v>
      </c>
      <c r="AE10" s="147">
        <v>0.68093385214007784</v>
      </c>
      <c r="AF10" s="148">
        <v>1.0285714285714291</v>
      </c>
      <c r="AG10" s="148">
        <v>0.94285714285714306</v>
      </c>
      <c r="AH10" s="148">
        <v>0.91428571428571515</v>
      </c>
      <c r="AI10" s="148">
        <v>0.88571428571428623</v>
      </c>
      <c r="AJ10" s="148">
        <v>0.87142857142857166</v>
      </c>
      <c r="AK10" s="148">
        <v>0.8571428571428571</v>
      </c>
      <c r="AL10" s="148">
        <v>0.8571428571428571</v>
      </c>
      <c r="AM10" s="138">
        <f>Y10*C10+($A$4-80)*AF10*$A$8/1000</f>
        <v>17.158064516129034</v>
      </c>
      <c r="AN10" s="138">
        <f>Z10*E10+($A$4-80)*AG10*$A$8/1000</f>
        <v>16.635483870967743</v>
      </c>
      <c r="AO10" s="138">
        <f>AA10*G10+($A$4-80)*AH10*$A$8/1000</f>
        <v>16.417741935483875</v>
      </c>
      <c r="AP10" s="138">
        <f>AB10*I10+($A$4-80)*AI10*$A$8/1000</f>
        <v>16.200000000000006</v>
      </c>
      <c r="AQ10" s="138">
        <f>AC10*K10+($A$4-80)*AJ10*$A$8/1000</f>
        <v>15.938709677419357</v>
      </c>
      <c r="AR10" s="138">
        <f>AD10*M10+($A$4-80)*AK10*$A$8/1000</f>
        <v>15.677419354838712</v>
      </c>
      <c r="AS10" s="138">
        <f>AE10*O10+($A$4-80)*AL10*$A$8/1000</f>
        <v>15.24193548387097</v>
      </c>
    </row>
    <row r="11" spans="1:45" ht="13.5" thickBot="1" x14ac:dyDescent="0.25">
      <c r="A11" s="170"/>
      <c r="B11" s="60">
        <v>62</v>
      </c>
      <c r="C11" s="61">
        <f t="shared" si="7"/>
        <v>25.432258064516134</v>
      </c>
      <c r="D11" s="61">
        <f t="shared" si="0"/>
        <v>20.467741935483875</v>
      </c>
      <c r="E11" s="61">
        <f t="shared" si="8"/>
        <v>24.038709677419359</v>
      </c>
      <c r="F11" s="61">
        <f t="shared" si="1"/>
        <v>19.858064516129037</v>
      </c>
      <c r="G11" s="61">
        <f t="shared" si="9"/>
        <v>23.385483870967747</v>
      </c>
      <c r="H11" s="61">
        <f t="shared" si="2"/>
        <v>19.553225806451618</v>
      </c>
      <c r="I11" s="61">
        <f t="shared" si="10"/>
        <v>22.732258064516131</v>
      </c>
      <c r="J11" s="61">
        <f t="shared" si="3"/>
        <v>19.248387096774195</v>
      </c>
      <c r="K11" s="61">
        <f t="shared" si="11"/>
        <v>22.079032258064519</v>
      </c>
      <c r="L11" s="61">
        <f t="shared" si="4"/>
        <v>18.943548387096776</v>
      </c>
      <c r="M11" s="61">
        <f t="shared" si="12"/>
        <v>21.425806451612907</v>
      </c>
      <c r="N11" s="61">
        <f t="shared" si="5"/>
        <v>18.638709677419353</v>
      </c>
      <c r="O11" s="61">
        <f t="shared" si="13"/>
        <v>20.119354838709679</v>
      </c>
      <c r="P11" s="62">
        <f t="shared" si="6"/>
        <v>18.029032258064518</v>
      </c>
      <c r="R11" s="146">
        <v>1.0465949820788532</v>
      </c>
      <c r="S11" s="146">
        <v>0.98924731182795711</v>
      </c>
      <c r="T11" s="146">
        <v>0.96236559139784961</v>
      </c>
      <c r="U11" s="146">
        <v>0.93548387096774199</v>
      </c>
      <c r="V11" s="146">
        <v>0.90860215053763449</v>
      </c>
      <c r="W11" s="146">
        <v>0.88172043010752699</v>
      </c>
      <c r="X11" s="146">
        <v>0.82795698924731187</v>
      </c>
      <c r="Y11" s="147">
        <v>0.8047945205479452</v>
      </c>
      <c r="Z11" s="147">
        <v>0.82608695652173914</v>
      </c>
      <c r="AA11" s="147">
        <v>0.83612662942271887</v>
      </c>
      <c r="AB11" s="147">
        <v>0.84674329501915713</v>
      </c>
      <c r="AC11" s="147">
        <v>0.85798816568047331</v>
      </c>
      <c r="AD11" s="147">
        <v>0.86991869918699172</v>
      </c>
      <c r="AE11" s="147">
        <v>0.89610389610389607</v>
      </c>
      <c r="AF11" s="148">
        <v>1.0285714285714291</v>
      </c>
      <c r="AG11" s="148">
        <v>0.94285714285714306</v>
      </c>
      <c r="AH11" s="148">
        <v>0.91428571428571515</v>
      </c>
      <c r="AI11" s="148">
        <v>0.88571428571428623</v>
      </c>
      <c r="AJ11" s="148">
        <v>0.87142857142857166</v>
      </c>
      <c r="AK11" s="148">
        <v>0.8571428571428571</v>
      </c>
      <c r="AL11" s="148">
        <v>0.8571428571428571</v>
      </c>
      <c r="AM11" s="138">
        <f>Y11*C11+($A$4-80)*AF11*$A$8/1000</f>
        <v>20.467741935483875</v>
      </c>
      <c r="AN11" s="138">
        <f>Z11*E11+($A$4-80)*AG11*$A$8/1000</f>
        <v>19.858064516129037</v>
      </c>
      <c r="AO11" s="138">
        <f>AA11*G11+($A$4-80)*AH11*$A$8/1000</f>
        <v>19.553225806451618</v>
      </c>
      <c r="AP11" s="138">
        <f>AB11*I11+($A$4-80)*AI11*$A$8/1000</f>
        <v>19.248387096774195</v>
      </c>
      <c r="AQ11" s="138">
        <f>AC11*K11+($A$4-80)*AJ11*$A$8/1000</f>
        <v>18.943548387096776</v>
      </c>
      <c r="AR11" s="138">
        <f>AD11*M11+($A$4-80)*AK11*$A$8/1000</f>
        <v>18.638709677419353</v>
      </c>
      <c r="AS11" s="138">
        <f>AE11*O11+($A$4-80)*AL11*$A$8/1000</f>
        <v>18.029032258064518</v>
      </c>
    </row>
    <row r="12" spans="1:45" x14ac:dyDescent="0.2">
      <c r="A12" s="168">
        <v>800</v>
      </c>
      <c r="B12" s="52">
        <v>72</v>
      </c>
      <c r="C12" s="53">
        <f t="shared" si="7"/>
        <v>30.658064516129038</v>
      </c>
      <c r="D12" s="53">
        <f t="shared" si="0"/>
        <v>14.719354838709679</v>
      </c>
      <c r="E12" s="53">
        <f t="shared" si="8"/>
        <v>29.612903225806452</v>
      </c>
      <c r="F12" s="53">
        <f t="shared" si="1"/>
        <v>14.370967741935484</v>
      </c>
      <c r="G12" s="53">
        <f t="shared" si="9"/>
        <v>28.95967741935484</v>
      </c>
      <c r="H12" s="53">
        <f t="shared" si="2"/>
        <v>14.153225806451612</v>
      </c>
      <c r="I12" s="53">
        <f t="shared" si="10"/>
        <v>28.306451612903228</v>
      </c>
      <c r="J12" s="53">
        <f t="shared" si="3"/>
        <v>13.935483870967744</v>
      </c>
      <c r="K12" s="53">
        <f t="shared" si="11"/>
        <v>27.609677419354838</v>
      </c>
      <c r="L12" s="53">
        <f t="shared" si="4"/>
        <v>13.674193548387096</v>
      </c>
      <c r="M12" s="53">
        <f t="shared" si="12"/>
        <v>26.912903225806449</v>
      </c>
      <c r="N12" s="53">
        <f t="shared" si="5"/>
        <v>13.412903225806451</v>
      </c>
      <c r="O12" s="53">
        <f t="shared" si="13"/>
        <v>25.345161290322586</v>
      </c>
      <c r="P12" s="54">
        <f t="shared" si="6"/>
        <v>12.890322580645163</v>
      </c>
      <c r="R12" s="146">
        <v>1.2616487455197134</v>
      </c>
      <c r="S12" s="146">
        <v>1.2186379928315412</v>
      </c>
      <c r="T12" s="146">
        <v>1.1917562724014337</v>
      </c>
      <c r="U12" s="146">
        <v>1.1648745519713262</v>
      </c>
      <c r="V12" s="146">
        <v>1.1362007168458781</v>
      </c>
      <c r="W12" s="146">
        <v>1.10752688172043</v>
      </c>
      <c r="X12" s="146">
        <v>1.0430107526881722</v>
      </c>
      <c r="Y12" s="147">
        <v>0.4801136363636363</v>
      </c>
      <c r="Z12" s="147">
        <v>0.48529411764705882</v>
      </c>
      <c r="AA12" s="147">
        <v>0.48872180451127817</v>
      </c>
      <c r="AB12" s="147">
        <v>0.49230769230769234</v>
      </c>
      <c r="AC12" s="147">
        <v>0.4952681388012618</v>
      </c>
      <c r="AD12" s="147">
        <v>0.49838187702265374</v>
      </c>
      <c r="AE12" s="147">
        <v>0.50859106529209619</v>
      </c>
      <c r="AF12" s="148">
        <v>1</v>
      </c>
      <c r="AG12" s="148">
        <v>0.92499999999999982</v>
      </c>
      <c r="AH12" s="148">
        <v>0.89999999999999947</v>
      </c>
      <c r="AI12" s="148">
        <v>0.87499999999999989</v>
      </c>
      <c r="AJ12" s="148">
        <v>0.84999999999999964</v>
      </c>
      <c r="AK12" s="148">
        <v>0.82499999999999929</v>
      </c>
      <c r="AL12" s="148">
        <v>0.82500000000000018</v>
      </c>
      <c r="AM12" s="138">
        <f>Y12*C12+($A$4-80)*AF12*$A$12/1000</f>
        <v>14.719354838709679</v>
      </c>
      <c r="AN12" s="138">
        <f>Z12*E12+($A$4-80)*AG12*$A$12/1000</f>
        <v>14.370967741935484</v>
      </c>
      <c r="AO12" s="138">
        <f>AA12*G12+($A$4-80)*AH12*$A$12/1000</f>
        <v>14.153225806451612</v>
      </c>
      <c r="AP12" s="138">
        <f>AB12*I12+($A$4-80)*AI12*$A$12/1000</f>
        <v>13.935483870967744</v>
      </c>
      <c r="AQ12" s="138">
        <f>AC12*K12+($A$4-80)*AJ12*$A$12/1000</f>
        <v>13.674193548387096</v>
      </c>
      <c r="AR12" s="138">
        <f>AD12*M12+($A$4-80)*AK12*$A$12/1000</f>
        <v>13.412903225806451</v>
      </c>
      <c r="AS12" s="138">
        <f>AE12*O12+($A$4-80)*AL12*$A$12/1000</f>
        <v>12.890322580645163</v>
      </c>
    </row>
    <row r="13" spans="1:45" x14ac:dyDescent="0.2">
      <c r="A13" s="169"/>
      <c r="B13" s="55">
        <v>69.5</v>
      </c>
      <c r="C13" s="56">
        <f t="shared" si="7"/>
        <v>29.351612903225814</v>
      </c>
      <c r="D13" s="56">
        <f t="shared" si="0"/>
        <v>16.461290322580648</v>
      </c>
      <c r="E13" s="56">
        <f t="shared" si="8"/>
        <v>28.21935483870968</v>
      </c>
      <c r="F13" s="56">
        <f t="shared" si="1"/>
        <v>16.025806451612905</v>
      </c>
      <c r="G13" s="56">
        <f t="shared" si="9"/>
        <v>27.587903225806453</v>
      </c>
      <c r="H13" s="56">
        <f t="shared" si="2"/>
        <v>15.808064516129031</v>
      </c>
      <c r="I13" s="56">
        <f t="shared" si="10"/>
        <v>26.956451612903226</v>
      </c>
      <c r="J13" s="56">
        <f t="shared" si="3"/>
        <v>15.590322580645161</v>
      </c>
      <c r="K13" s="56">
        <f t="shared" si="11"/>
        <v>26.281451612903222</v>
      </c>
      <c r="L13" s="56">
        <f t="shared" si="4"/>
        <v>15.329032258064515</v>
      </c>
      <c r="M13" s="56">
        <f t="shared" si="12"/>
        <v>25.606451612903225</v>
      </c>
      <c r="N13" s="56">
        <f t="shared" si="5"/>
        <v>15.067741935483873</v>
      </c>
      <c r="O13" s="56">
        <f t="shared" si="13"/>
        <v>24.212903225806453</v>
      </c>
      <c r="P13" s="57">
        <f t="shared" si="6"/>
        <v>14.588709677419356</v>
      </c>
      <c r="R13" s="146">
        <v>1.2078853046594984</v>
      </c>
      <c r="S13" s="146">
        <v>1.1612903225806452</v>
      </c>
      <c r="T13" s="146">
        <v>1.1353046594982079</v>
      </c>
      <c r="U13" s="146">
        <v>1.1093189964157706</v>
      </c>
      <c r="V13" s="146">
        <v>1.0815412186379927</v>
      </c>
      <c r="W13" s="146">
        <v>1.053763440860215</v>
      </c>
      <c r="X13" s="146">
        <v>0.99641577060931907</v>
      </c>
      <c r="Y13" s="147">
        <v>0.56083086053412456</v>
      </c>
      <c r="Z13" s="147">
        <v>0.5679012345679012</v>
      </c>
      <c r="AA13" s="147">
        <v>0.57300710339384364</v>
      </c>
      <c r="AB13" s="147">
        <v>0.57835218093699514</v>
      </c>
      <c r="AC13" s="147">
        <v>0.58326429163214588</v>
      </c>
      <c r="AD13" s="147">
        <v>0.58843537414965996</v>
      </c>
      <c r="AE13" s="147">
        <v>0.60251798561151082</v>
      </c>
      <c r="AF13" s="148">
        <v>1</v>
      </c>
      <c r="AG13" s="148">
        <v>0.92499999999999982</v>
      </c>
      <c r="AH13" s="148">
        <v>0.89999999999999947</v>
      </c>
      <c r="AI13" s="148">
        <v>0.87499999999999989</v>
      </c>
      <c r="AJ13" s="148">
        <v>0.84999999999999964</v>
      </c>
      <c r="AK13" s="148">
        <v>0.82499999999999929</v>
      </c>
      <c r="AL13" s="148">
        <v>0.82500000000000018</v>
      </c>
      <c r="AM13" s="138">
        <f>Y13*C13+($A$4-80)*AF13*$A$12/1000</f>
        <v>16.461290322580648</v>
      </c>
      <c r="AN13" s="138">
        <f>Z13*E13+($A$4-80)*AG13*$A$12/1000</f>
        <v>16.025806451612905</v>
      </c>
      <c r="AO13" s="138">
        <f>AA13*G13+($A$4-80)*AH13*$A$12/1000</f>
        <v>15.808064516129031</v>
      </c>
      <c r="AP13" s="138">
        <f>AB13*I13+($A$4-80)*AI13*$A$12/1000</f>
        <v>15.590322580645161</v>
      </c>
      <c r="AQ13" s="138">
        <f>AC13*K13+($A$4-80)*AJ13*$A$12/1000</f>
        <v>15.329032258064515</v>
      </c>
      <c r="AR13" s="138">
        <f>AD13*M13+($A$4-80)*AK13*$A$12/1000</f>
        <v>15.067741935483873</v>
      </c>
      <c r="AS13" s="138">
        <f>AE13*O13+($A$4-80)*AL13*$A$12/1000</f>
        <v>14.588709677419356</v>
      </c>
    </row>
    <row r="14" spans="1:45" x14ac:dyDescent="0.2">
      <c r="A14" s="169"/>
      <c r="B14" s="55">
        <v>67</v>
      </c>
      <c r="C14" s="56">
        <f t="shared" si="7"/>
        <v>28.045161290322586</v>
      </c>
      <c r="D14" s="58">
        <f t="shared" si="0"/>
        <v>18.203225806451616</v>
      </c>
      <c r="E14" s="56">
        <f t="shared" si="8"/>
        <v>26.825806451612905</v>
      </c>
      <c r="F14" s="58">
        <f t="shared" si="1"/>
        <v>17.680645161290322</v>
      </c>
      <c r="G14" s="56">
        <f t="shared" si="9"/>
        <v>26.216129032258067</v>
      </c>
      <c r="H14" s="56">
        <f t="shared" si="2"/>
        <v>17.462903225806453</v>
      </c>
      <c r="I14" s="56">
        <f t="shared" si="10"/>
        <v>25.606451612903225</v>
      </c>
      <c r="J14" s="56">
        <f t="shared" si="3"/>
        <v>17.245161290322581</v>
      </c>
      <c r="K14" s="56">
        <f t="shared" si="11"/>
        <v>24.953225806451613</v>
      </c>
      <c r="L14" s="58">
        <f t="shared" si="4"/>
        <v>16.983870967741936</v>
      </c>
      <c r="M14" s="56">
        <v>24.3</v>
      </c>
      <c r="N14" s="58">
        <f t="shared" si="5"/>
        <v>16.72258064516129</v>
      </c>
      <c r="O14" s="56">
        <f t="shared" si="13"/>
        <v>23.080645161290324</v>
      </c>
      <c r="P14" s="59">
        <f t="shared" si="6"/>
        <v>16.287096774193547</v>
      </c>
      <c r="R14" s="146">
        <v>1.1541218637992834</v>
      </c>
      <c r="S14" s="146">
        <v>1.1039426523297491</v>
      </c>
      <c r="T14" s="146">
        <v>1.0788530465949822</v>
      </c>
      <c r="U14" s="146">
        <v>1.053763440860215</v>
      </c>
      <c r="V14" s="146">
        <v>1.0268817204301075</v>
      </c>
      <c r="W14" s="146">
        <v>1</v>
      </c>
      <c r="X14" s="146">
        <v>0.94982078853046603</v>
      </c>
      <c r="Y14" s="147">
        <v>0.64906832298136641</v>
      </c>
      <c r="Z14" s="147">
        <v>0.65909090909090906</v>
      </c>
      <c r="AA14" s="147">
        <v>0.66611295681063121</v>
      </c>
      <c r="AB14" s="147">
        <v>0.67346938775510212</v>
      </c>
      <c r="AC14" s="147">
        <v>0.68062827225130895</v>
      </c>
      <c r="AD14" s="147">
        <v>0.68817204301075274</v>
      </c>
      <c r="AE14" s="147">
        <v>0.70566037735849052</v>
      </c>
      <c r="AF14" s="148">
        <v>1</v>
      </c>
      <c r="AG14" s="148">
        <v>0.92499999999999982</v>
      </c>
      <c r="AH14" s="148">
        <v>0.89999999999999947</v>
      </c>
      <c r="AI14" s="148">
        <v>0.87499999999999989</v>
      </c>
      <c r="AJ14" s="148">
        <v>0.84999999999999964</v>
      </c>
      <c r="AK14" s="148">
        <v>0.82499999999999929</v>
      </c>
      <c r="AL14" s="148">
        <v>0.82500000000000018</v>
      </c>
      <c r="AM14" s="138">
        <f>Y14*C14+($A$4-80)*AF14*$A$12/1000</f>
        <v>18.203225806451616</v>
      </c>
      <c r="AN14" s="138">
        <f>Z14*E14+($A$4-80)*AG14*$A$12/1000</f>
        <v>17.680645161290322</v>
      </c>
      <c r="AO14" s="138">
        <f>AA14*G14+($A$4-80)*AH14*$A$12/1000</f>
        <v>17.462903225806453</v>
      </c>
      <c r="AP14" s="138">
        <f>AB14*I14+($A$4-80)*AI14*$A$12/1000</f>
        <v>17.245161290322581</v>
      </c>
      <c r="AQ14" s="138">
        <f>AC14*K14+($A$4-80)*AJ14*$A$12/1000</f>
        <v>16.983870967741936</v>
      </c>
      <c r="AR14" s="138">
        <f>AD14*M14+($A$4-80)*AK14*$A$12/1000</f>
        <v>16.72258064516129</v>
      </c>
      <c r="AS14" s="138">
        <f>AE14*O14+($A$4-80)*AL14*$A$12/1000</f>
        <v>16.287096774193547</v>
      </c>
    </row>
    <row r="15" spans="1:45" ht="13.5" thickBot="1" x14ac:dyDescent="0.25">
      <c r="A15" s="170"/>
      <c r="B15" s="60">
        <v>62</v>
      </c>
      <c r="C15" s="61">
        <f t="shared" si="7"/>
        <v>26.390322580645165</v>
      </c>
      <c r="D15" s="61">
        <f t="shared" si="0"/>
        <v>21.861290322580651</v>
      </c>
      <c r="E15" s="61">
        <f t="shared" si="8"/>
        <v>24.99677419354839</v>
      </c>
      <c r="F15" s="61">
        <f t="shared" si="1"/>
        <v>21.251612903225809</v>
      </c>
      <c r="G15" s="61">
        <f t="shared" si="9"/>
        <v>24.3</v>
      </c>
      <c r="H15" s="61">
        <f t="shared" si="2"/>
        <v>20.946774193548386</v>
      </c>
      <c r="I15" s="61">
        <f t="shared" si="10"/>
        <v>23.603225806451615</v>
      </c>
      <c r="J15" s="61">
        <f t="shared" si="3"/>
        <v>20.641935483870967</v>
      </c>
      <c r="K15" s="61">
        <f t="shared" si="11"/>
        <v>22.906451612903229</v>
      </c>
      <c r="L15" s="61">
        <f t="shared" si="4"/>
        <v>20.293548387096774</v>
      </c>
      <c r="M15" s="61">
        <f t="shared" ref="M15:M19" si="14">W15*$M$14</f>
        <v>22.20967741935484</v>
      </c>
      <c r="N15" s="61">
        <f t="shared" si="5"/>
        <v>19.945161290322581</v>
      </c>
      <c r="O15" s="61">
        <f t="shared" si="13"/>
        <v>20.816129032258065</v>
      </c>
      <c r="P15" s="62">
        <f t="shared" si="6"/>
        <v>19.248387096774195</v>
      </c>
      <c r="R15" s="146">
        <v>1.0860215053763442</v>
      </c>
      <c r="S15" s="146">
        <v>1.0286738351254481</v>
      </c>
      <c r="T15" s="146">
        <v>1</v>
      </c>
      <c r="U15" s="146">
        <v>0.97132616487455203</v>
      </c>
      <c r="V15" s="146">
        <v>0.94265232974910407</v>
      </c>
      <c r="W15" s="146">
        <v>0.91397849462365599</v>
      </c>
      <c r="X15" s="146">
        <v>0.85663082437275984</v>
      </c>
      <c r="Y15" s="147">
        <v>0.82838283828382842</v>
      </c>
      <c r="Z15" s="147">
        <v>0.85017421602787457</v>
      </c>
      <c r="AA15" s="147">
        <v>0.86200716845878134</v>
      </c>
      <c r="AB15" s="147">
        <v>0.8745387453874538</v>
      </c>
      <c r="AC15" s="147">
        <v>0.88593155893536113</v>
      </c>
      <c r="AD15" s="147">
        <v>0.89803921568627443</v>
      </c>
      <c r="AE15" s="147">
        <v>0.92468619246861938</v>
      </c>
      <c r="AF15" s="148">
        <v>1</v>
      </c>
      <c r="AG15" s="148">
        <v>0.92499999999999982</v>
      </c>
      <c r="AH15" s="148">
        <v>0.89999999999999947</v>
      </c>
      <c r="AI15" s="148">
        <v>0.87499999999999989</v>
      </c>
      <c r="AJ15" s="148">
        <v>0.84999999999999964</v>
      </c>
      <c r="AK15" s="148">
        <v>0.82499999999999929</v>
      </c>
      <c r="AL15" s="148">
        <v>0.82500000000000018</v>
      </c>
      <c r="AM15" s="138">
        <f>Y15*C15+($A$4-80)*AF15*$A$12/1000</f>
        <v>21.861290322580651</v>
      </c>
      <c r="AN15" s="138">
        <f>Z15*E15+($A$4-80)*AG15*$A$12/1000</f>
        <v>21.251612903225809</v>
      </c>
      <c r="AO15" s="138">
        <f>AA15*G15+($A$4-80)*AH15*$A$12/1000</f>
        <v>20.946774193548386</v>
      </c>
      <c r="AP15" s="138">
        <f>AB15*I15+($A$4-80)*AI15*$A$12/1000</f>
        <v>20.641935483870967</v>
      </c>
      <c r="AQ15" s="138">
        <f>AC15*K15+($A$4-80)*AJ15*$A$12/1000</f>
        <v>20.293548387096774</v>
      </c>
      <c r="AR15" s="138">
        <f>AD15*M15+($A$4-80)*AK15*$A$12/1000</f>
        <v>19.945161290322581</v>
      </c>
      <c r="AS15" s="138">
        <f>AE15*O15+($A$4-80)*AL15*$A$12/1000</f>
        <v>19.248387096774195</v>
      </c>
    </row>
    <row r="16" spans="1:45" x14ac:dyDescent="0.2">
      <c r="A16" s="168">
        <v>900</v>
      </c>
      <c r="B16" s="52">
        <v>72</v>
      </c>
      <c r="C16" s="53">
        <f t="shared" si="7"/>
        <v>31.35483870967742</v>
      </c>
      <c r="D16" s="53">
        <f t="shared" si="0"/>
        <v>15.416129032258064</v>
      </c>
      <c r="E16" s="53">
        <f t="shared" si="8"/>
        <v>30.222580645161294</v>
      </c>
      <c r="F16" s="53">
        <f t="shared" si="1"/>
        <v>15.067741935483872</v>
      </c>
      <c r="G16" s="53">
        <f t="shared" si="9"/>
        <v>29.612903225806452</v>
      </c>
      <c r="H16" s="53">
        <f t="shared" si="2"/>
        <v>14.85</v>
      </c>
      <c r="I16" s="53">
        <f t="shared" si="10"/>
        <v>29.003225806451614</v>
      </c>
      <c r="J16" s="53">
        <f t="shared" si="3"/>
        <v>14.632258064516131</v>
      </c>
      <c r="K16" s="53">
        <f t="shared" si="11"/>
        <v>28.262903225806458</v>
      </c>
      <c r="L16" s="53">
        <f t="shared" si="4"/>
        <v>14.414516129032261</v>
      </c>
      <c r="M16" s="53">
        <f t="shared" si="14"/>
        <v>27.522580645161291</v>
      </c>
      <c r="N16" s="53">
        <f t="shared" si="5"/>
        <v>14.196774193548388</v>
      </c>
      <c r="O16" s="53">
        <f t="shared" si="13"/>
        <v>25.86774193548387</v>
      </c>
      <c r="P16" s="54">
        <f t="shared" si="6"/>
        <v>13.587096774193549</v>
      </c>
      <c r="R16" s="146">
        <v>1.2903225806451613</v>
      </c>
      <c r="S16" s="146">
        <v>1.2437275985663083</v>
      </c>
      <c r="T16" s="146">
        <v>1.2186379928315412</v>
      </c>
      <c r="U16" s="146">
        <v>1.1935483870967742</v>
      </c>
      <c r="V16" s="146">
        <v>1.1630824372759858</v>
      </c>
      <c r="W16" s="146">
        <v>1.1326164874551972</v>
      </c>
      <c r="X16" s="146">
        <v>1.064516129032258</v>
      </c>
      <c r="Y16" s="147">
        <v>0.49166666666666664</v>
      </c>
      <c r="Z16" s="147">
        <v>0.49855907780979825</v>
      </c>
      <c r="AA16" s="147">
        <v>0.50147058823529411</v>
      </c>
      <c r="AB16" s="147">
        <v>0.50450450450450457</v>
      </c>
      <c r="AC16" s="147">
        <v>0.51001540832049308</v>
      </c>
      <c r="AD16" s="147">
        <v>0.51582278481012656</v>
      </c>
      <c r="AE16" s="147">
        <v>0.5252525252525253</v>
      </c>
      <c r="AF16" s="148">
        <v>0.97777777777777841</v>
      </c>
      <c r="AG16" s="148">
        <v>0.91111111111111143</v>
      </c>
      <c r="AH16" s="148">
        <v>0.88888888888888895</v>
      </c>
      <c r="AI16" s="148">
        <v>0.86666666666666625</v>
      </c>
      <c r="AJ16" s="148">
        <v>0.83333333333333337</v>
      </c>
      <c r="AK16" s="148">
        <v>0.80000000000000038</v>
      </c>
      <c r="AL16" s="148">
        <v>0.80000000000000038</v>
      </c>
      <c r="AM16" s="138">
        <f>Y16*C16+($A$4-80)*AF16*$A$16/1000</f>
        <v>15.416129032258064</v>
      </c>
      <c r="AN16" s="138">
        <f>Z16*E16+($A$4-80)*AG16*$A$16/1000</f>
        <v>15.067741935483872</v>
      </c>
      <c r="AO16" s="138">
        <f>AA16*G16+($A$4-80)*AH16*$A$16/1000</f>
        <v>14.85</v>
      </c>
      <c r="AP16" s="138">
        <f>AB16*I16+($A$4-80)*AI16*$A$16/1000</f>
        <v>14.632258064516131</v>
      </c>
      <c r="AQ16" s="138">
        <f>AC16*K16+($A$4-80)*AJ16*$A$16/1000</f>
        <v>14.414516129032261</v>
      </c>
      <c r="AR16" s="138">
        <f>AD16*M16+($A$4-80)*AK16*$A$16/1000</f>
        <v>14.196774193548388</v>
      </c>
      <c r="AS16" s="138">
        <f>AE16*O16+($A$4-80)*AL16*$A$16/1000</f>
        <v>13.587096774193549</v>
      </c>
    </row>
    <row r="17" spans="1:45" x14ac:dyDescent="0.2">
      <c r="A17" s="169"/>
      <c r="B17" s="55">
        <v>69.5</v>
      </c>
      <c r="C17" s="56">
        <f t="shared" si="7"/>
        <v>30.222580645161294</v>
      </c>
      <c r="D17" s="56">
        <f t="shared" si="0"/>
        <v>17.41935483870968</v>
      </c>
      <c r="E17" s="56">
        <f t="shared" si="8"/>
        <v>29.133870967741942</v>
      </c>
      <c r="F17" s="56">
        <f t="shared" si="1"/>
        <v>17.11451612903226</v>
      </c>
      <c r="G17" s="56">
        <f t="shared" si="9"/>
        <v>28.545967741935485</v>
      </c>
      <c r="H17" s="56">
        <f t="shared" si="2"/>
        <v>16.896774193548389</v>
      </c>
      <c r="I17" s="56">
        <f t="shared" si="10"/>
        <v>27.958064516129031</v>
      </c>
      <c r="J17" s="56">
        <f t="shared" si="3"/>
        <v>16.679032258064517</v>
      </c>
      <c r="K17" s="56">
        <f t="shared" si="11"/>
        <v>27.23951612903226</v>
      </c>
      <c r="L17" s="56">
        <f t="shared" si="4"/>
        <v>16.43951612903226</v>
      </c>
      <c r="M17" s="56">
        <f t="shared" si="14"/>
        <v>26.52096774193549</v>
      </c>
      <c r="N17" s="56">
        <f t="shared" si="5"/>
        <v>16.200000000000003</v>
      </c>
      <c r="O17" s="56">
        <f t="shared" si="13"/>
        <v>24.866129032258065</v>
      </c>
      <c r="P17" s="57">
        <f t="shared" si="6"/>
        <v>15.546774193548391</v>
      </c>
      <c r="R17" s="146">
        <v>1.2437275985663083</v>
      </c>
      <c r="S17" s="146">
        <v>1.198924731182796</v>
      </c>
      <c r="T17" s="146">
        <v>1.174731182795699</v>
      </c>
      <c r="U17" s="146">
        <v>1.150537634408602</v>
      </c>
      <c r="V17" s="146">
        <v>1.120967741935484</v>
      </c>
      <c r="W17" s="146">
        <v>1.0913978494623657</v>
      </c>
      <c r="X17" s="146">
        <v>1.0232974910394266</v>
      </c>
      <c r="Y17" s="147">
        <v>0.57636887608069165</v>
      </c>
      <c r="Z17" s="147">
        <v>0.58744394618834073</v>
      </c>
      <c r="AA17" s="147">
        <v>0.59191456903127382</v>
      </c>
      <c r="AB17" s="147">
        <v>0.59657320872274144</v>
      </c>
      <c r="AC17" s="147">
        <v>0.60351718625099915</v>
      </c>
      <c r="AD17" s="147">
        <v>0.61083743842364535</v>
      </c>
      <c r="AE17" s="147">
        <v>0.62521891418563935</v>
      </c>
      <c r="AF17" s="148">
        <v>0.97777777777777841</v>
      </c>
      <c r="AG17" s="148">
        <v>0.91111111111111143</v>
      </c>
      <c r="AH17" s="148">
        <v>0.88888888888888895</v>
      </c>
      <c r="AI17" s="148">
        <v>0.86666666666666625</v>
      </c>
      <c r="AJ17" s="148">
        <v>0.83333333333333337</v>
      </c>
      <c r="AK17" s="148">
        <v>0.80000000000000038</v>
      </c>
      <c r="AL17" s="148">
        <v>0.80000000000000038</v>
      </c>
      <c r="AM17" s="138">
        <f>Y17*C17+($A$4-80)*AF17*$A$16/1000</f>
        <v>17.41935483870968</v>
      </c>
      <c r="AN17" s="138">
        <f>Z17*E17+($A$4-80)*AG17*$A$16/1000</f>
        <v>17.11451612903226</v>
      </c>
      <c r="AO17" s="138">
        <f>AA17*G17+($A$4-80)*AH17*$A$16/1000</f>
        <v>16.896774193548389</v>
      </c>
      <c r="AP17" s="138">
        <f>AB17*I17+($A$4-80)*AI17*$A$16/1000</f>
        <v>16.679032258064517</v>
      </c>
      <c r="AQ17" s="138">
        <f>AC17*K17+($A$4-80)*AJ17*$A$16/1000</f>
        <v>16.43951612903226</v>
      </c>
      <c r="AR17" s="138">
        <f>AD17*M17+($A$4-80)*AK17*$A$16/1000</f>
        <v>16.200000000000003</v>
      </c>
      <c r="AS17" s="138">
        <f>AE17*O17+($A$4-80)*AL17*$A$16/1000</f>
        <v>15.546774193548391</v>
      </c>
    </row>
    <row r="18" spans="1:45" x14ac:dyDescent="0.2">
      <c r="A18" s="169"/>
      <c r="B18" s="55">
        <v>67</v>
      </c>
      <c r="C18" s="56">
        <f t="shared" si="7"/>
        <v>29.090322580645161</v>
      </c>
      <c r="D18" s="58">
        <f t="shared" si="0"/>
        <v>19.422580645161293</v>
      </c>
      <c r="E18" s="56">
        <f t="shared" si="8"/>
        <v>28.045161290322586</v>
      </c>
      <c r="F18" s="58">
        <f t="shared" si="1"/>
        <v>19.161290322580648</v>
      </c>
      <c r="G18" s="56">
        <f t="shared" si="9"/>
        <v>27.479032258064521</v>
      </c>
      <c r="H18" s="56">
        <f t="shared" si="2"/>
        <v>18.943548387096776</v>
      </c>
      <c r="I18" s="56">
        <f t="shared" si="10"/>
        <v>26.912903225806449</v>
      </c>
      <c r="J18" s="56">
        <f t="shared" si="3"/>
        <v>18.725806451612904</v>
      </c>
      <c r="K18" s="56">
        <f t="shared" si="11"/>
        <v>26.216129032258067</v>
      </c>
      <c r="L18" s="58">
        <f t="shared" si="4"/>
        <v>18.464516129032258</v>
      </c>
      <c r="M18" s="56">
        <f t="shared" si="14"/>
        <v>25.519354838709678</v>
      </c>
      <c r="N18" s="58">
        <f t="shared" si="5"/>
        <v>18.203225806451613</v>
      </c>
      <c r="O18" s="56">
        <f t="shared" si="13"/>
        <v>23.86451612903226</v>
      </c>
      <c r="P18" s="59">
        <f t="shared" si="6"/>
        <v>17.506451612903227</v>
      </c>
      <c r="R18" s="146">
        <v>1.1971326164874552</v>
      </c>
      <c r="S18" s="146">
        <v>1.1541218637992834</v>
      </c>
      <c r="T18" s="146">
        <v>1.1308243727598568</v>
      </c>
      <c r="U18" s="146">
        <v>1.10752688172043</v>
      </c>
      <c r="V18" s="146">
        <v>1.0788530465949822</v>
      </c>
      <c r="W18" s="146">
        <v>1.0501792114695341</v>
      </c>
      <c r="X18" s="146">
        <v>0.98207885304659504</v>
      </c>
      <c r="Y18" s="147">
        <v>0.66766467065868274</v>
      </c>
      <c r="Z18" s="147">
        <v>0.68322981366459623</v>
      </c>
      <c r="AA18" s="147">
        <v>0.68938193343898568</v>
      </c>
      <c r="AB18" s="147">
        <v>0.69579288025889974</v>
      </c>
      <c r="AC18" s="147">
        <v>0.70431893687707636</v>
      </c>
      <c r="AD18" s="147">
        <v>0.71331058020477811</v>
      </c>
      <c r="AE18" s="147">
        <v>0.73357664233576647</v>
      </c>
      <c r="AF18" s="148">
        <v>0.97777777777777841</v>
      </c>
      <c r="AG18" s="148">
        <v>0.91111111111111143</v>
      </c>
      <c r="AH18" s="148">
        <v>0.88888888888888895</v>
      </c>
      <c r="AI18" s="148">
        <v>0.86666666666666625</v>
      </c>
      <c r="AJ18" s="148">
        <v>0.83333333333333337</v>
      </c>
      <c r="AK18" s="148">
        <v>0.80000000000000038</v>
      </c>
      <c r="AL18" s="148">
        <v>0.80000000000000038</v>
      </c>
      <c r="AM18" s="138">
        <f>Y18*C18+($A$4-80)*AF18*$A$16/1000</f>
        <v>19.422580645161293</v>
      </c>
      <c r="AN18" s="138">
        <f>Z18*E18+($A$4-80)*AG18*$A$16/1000</f>
        <v>19.161290322580648</v>
      </c>
      <c r="AO18" s="138">
        <f>AA18*G18+($A$4-80)*AH18*$A$16/1000</f>
        <v>18.943548387096776</v>
      </c>
      <c r="AP18" s="138">
        <f>AB18*I18+($A$4-80)*AI18*$A$16/1000</f>
        <v>18.725806451612904</v>
      </c>
      <c r="AQ18" s="138">
        <f>AC18*K18+($A$4-80)*AJ18*$A$16/1000</f>
        <v>18.464516129032258</v>
      </c>
      <c r="AR18" s="138">
        <f>AD18*M18+($A$4-80)*AK18*$A$16/1000</f>
        <v>18.203225806451613</v>
      </c>
      <c r="AS18" s="138">
        <f>AE18*O18+($A$4-80)*AL18*$A$16/1000</f>
        <v>17.506451612903227</v>
      </c>
    </row>
    <row r="19" spans="1:45" ht="13.5" thickBot="1" x14ac:dyDescent="0.25">
      <c r="A19" s="170"/>
      <c r="B19" s="60">
        <v>62</v>
      </c>
      <c r="C19" s="61">
        <f t="shared" si="7"/>
        <v>25.114525139664806</v>
      </c>
      <c r="D19" s="61">
        <f t="shared" si="0"/>
        <v>21.503810662716191</v>
      </c>
      <c r="E19" s="61">
        <f t="shared" si="8"/>
        <v>23.756983240223466</v>
      </c>
      <c r="F19" s="61">
        <f t="shared" si="1"/>
        <v>20.807290690262835</v>
      </c>
      <c r="G19" s="61">
        <f t="shared" si="9"/>
        <v>23.078212290502798</v>
      </c>
      <c r="H19" s="61">
        <f t="shared" si="2"/>
        <v>20.527252728167426</v>
      </c>
      <c r="I19" s="61">
        <f t="shared" si="10"/>
        <v>22.399441340782126</v>
      </c>
      <c r="J19" s="61">
        <f t="shared" si="3"/>
        <v>20.247181852521919</v>
      </c>
      <c r="K19" s="61">
        <f t="shared" si="11"/>
        <v>21.788547486033522</v>
      </c>
      <c r="L19" s="61">
        <f t="shared" si="4"/>
        <v>19.949514120239868</v>
      </c>
      <c r="M19" s="61">
        <f t="shared" si="14"/>
        <v>21.177653631284919</v>
      </c>
      <c r="N19" s="61">
        <f t="shared" si="5"/>
        <v>19.653504316912141</v>
      </c>
      <c r="O19" s="61">
        <f t="shared" si="13"/>
        <v>19.820111731843578</v>
      </c>
      <c r="P19" s="62">
        <f t="shared" si="6"/>
        <v>19.014416132988149</v>
      </c>
      <c r="R19" s="146">
        <v>1.0335195530726258</v>
      </c>
      <c r="S19" s="146">
        <v>0.97765363128491622</v>
      </c>
      <c r="T19" s="146">
        <v>0.94972067039106156</v>
      </c>
      <c r="U19" s="146">
        <v>0.92178770949720679</v>
      </c>
      <c r="V19" s="146">
        <v>0.89664804469273751</v>
      </c>
      <c r="W19" s="146">
        <v>0.87150837988826824</v>
      </c>
      <c r="X19" s="146">
        <v>0.81564245810055869</v>
      </c>
      <c r="Y19" s="147">
        <v>0.85623003194888181</v>
      </c>
      <c r="Z19" s="147">
        <v>0.87583892617449666</v>
      </c>
      <c r="AA19" s="147">
        <v>0.88946459412780643</v>
      </c>
      <c r="AB19" s="147">
        <v>0.90391459074733083</v>
      </c>
      <c r="AC19" s="147">
        <v>0.91559633027522935</v>
      </c>
      <c r="AD19" s="147">
        <v>0.92803030303030309</v>
      </c>
      <c r="AE19" s="147">
        <v>0.95934959349593496</v>
      </c>
      <c r="AF19" s="148">
        <v>0.97777777777777841</v>
      </c>
      <c r="AG19" s="148">
        <v>0.91111111111111143</v>
      </c>
      <c r="AH19" s="148">
        <v>0.88888888888888895</v>
      </c>
      <c r="AI19" s="148">
        <v>0.86666666666666625</v>
      </c>
      <c r="AJ19" s="148">
        <v>0.83333333333333337</v>
      </c>
      <c r="AK19" s="148">
        <v>0.80000000000000038</v>
      </c>
      <c r="AL19" s="148">
        <v>0.80000000000000038</v>
      </c>
      <c r="AM19" s="138">
        <f>Y19*C19+($A$4-80)*AF19*$A$16/1000</f>
        <v>21.503810662716191</v>
      </c>
      <c r="AN19" s="138">
        <f>Z19*E19+($A$4-80)*AG19*$A$16/1000</f>
        <v>20.807290690262835</v>
      </c>
      <c r="AO19" s="138">
        <f>AA19*G19+($A$4-80)*AH19*$A$16/1000</f>
        <v>20.527252728167426</v>
      </c>
      <c r="AP19" s="138">
        <f>AB19*I19+($A$4-80)*AI19*$A$16/1000</f>
        <v>20.247181852521919</v>
      </c>
      <c r="AQ19" s="138">
        <f>AC19*K19+($A$4-80)*AJ19*$A$16/1000</f>
        <v>19.949514120239868</v>
      </c>
      <c r="AR19" s="138">
        <f>AD19*M19+($A$4-80)*AK19*$A$16/1000</f>
        <v>19.653504316912141</v>
      </c>
      <c r="AS19" s="138">
        <f>AE19*O19+($A$4-80)*AL19*$A$16/1000</f>
        <v>19.014416132988149</v>
      </c>
    </row>
    <row r="22" spans="1:45" x14ac:dyDescent="0.2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</row>
    <row r="23" spans="1:45" ht="15" x14ac:dyDescent="0.25">
      <c r="B23" s="64"/>
      <c r="C23" s="64"/>
      <c r="D23" s="64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</row>
    <row r="24" spans="1:45" ht="12.75" customHeight="1" x14ac:dyDescent="0.25">
      <c r="B24" s="65"/>
      <c r="C24" s="65"/>
      <c r="D24" s="65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</row>
    <row r="25" spans="1:45" ht="15" x14ac:dyDescent="0.2">
      <c r="A25" s="174"/>
      <c r="B25" s="175"/>
      <c r="C25" s="145"/>
      <c r="D25" s="145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</row>
    <row r="26" spans="1:45" ht="15" x14ac:dyDescent="0.2">
      <c r="A26" s="174"/>
      <c r="B26" s="174"/>
      <c r="C26" s="144"/>
      <c r="D26" s="144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</row>
    <row r="27" spans="1:45" ht="15" x14ac:dyDescent="0.2">
      <c r="A27" s="174"/>
      <c r="B27" s="174"/>
      <c r="C27" s="144"/>
      <c r="D27" s="144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</row>
    <row r="28" spans="1:45" x14ac:dyDescent="0.2">
      <c r="A28" s="173"/>
      <c r="B28" s="66"/>
      <c r="C28" s="66"/>
      <c r="D28" s="66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1:45" x14ac:dyDescent="0.2">
      <c r="A29" s="173"/>
      <c r="B29" s="66"/>
      <c r="C29" s="66"/>
      <c r="D29" s="66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1:45" x14ac:dyDescent="0.2">
      <c r="A30" s="173"/>
      <c r="B30" s="66"/>
      <c r="C30" s="66"/>
      <c r="D30" s="66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1:45" x14ac:dyDescent="0.2">
      <c r="A31" s="173"/>
      <c r="B31" s="66"/>
      <c r="C31" s="66"/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1:45" x14ac:dyDescent="0.2">
      <c r="A32" s="173"/>
      <c r="B32" s="66"/>
      <c r="C32" s="66"/>
      <c r="D32" s="66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1:16" x14ac:dyDescent="0.2">
      <c r="A33" s="173"/>
      <c r="B33" s="66"/>
      <c r="C33" s="66"/>
      <c r="D33" s="66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1:16" x14ac:dyDescent="0.2">
      <c r="A34" s="173"/>
      <c r="B34" s="66"/>
      <c r="C34" s="66"/>
      <c r="D34" s="66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1:16" x14ac:dyDescent="0.2">
      <c r="A35" s="173"/>
      <c r="B35" s="66"/>
      <c r="C35" s="66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1:16" x14ac:dyDescent="0.2">
      <c r="A36" s="173"/>
      <c r="B36" s="66"/>
      <c r="C36" s="66"/>
      <c r="D36" s="66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1:16" x14ac:dyDescent="0.2">
      <c r="A37" s="173"/>
      <c r="B37" s="66"/>
      <c r="C37" s="66"/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x14ac:dyDescent="0.2">
      <c r="A38" s="173"/>
      <c r="B38" s="66"/>
      <c r="C38" s="66"/>
      <c r="D38" s="66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1:16" x14ac:dyDescent="0.2">
      <c r="A39" s="173"/>
      <c r="B39" s="66"/>
      <c r="C39" s="66"/>
      <c r="D39" s="66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x14ac:dyDescent="0.2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</row>
    <row r="41" spans="1:16" x14ac:dyDescent="0.2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</row>
    <row r="42" spans="1:16" ht="15" x14ac:dyDescent="0.25">
      <c r="A42" s="174"/>
      <c r="B42" s="174"/>
      <c r="C42" s="144"/>
      <c r="D42" s="144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</row>
    <row r="43" spans="1:16" ht="15" x14ac:dyDescent="0.2">
      <c r="A43" s="174"/>
      <c r="B43" s="174"/>
      <c r="C43" s="144"/>
      <c r="D43" s="144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</row>
    <row r="44" spans="1:16" ht="15" x14ac:dyDescent="0.2">
      <c r="A44" s="174"/>
      <c r="B44" s="175"/>
      <c r="C44" s="145"/>
      <c r="D44" s="145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</row>
    <row r="45" spans="1:16" ht="15" x14ac:dyDescent="0.2">
      <c r="A45" s="174"/>
      <c r="B45" s="174"/>
      <c r="C45" s="144"/>
      <c r="D45" s="144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</row>
    <row r="46" spans="1:16" ht="15" x14ac:dyDescent="0.2">
      <c r="A46" s="174"/>
      <c r="B46" s="174"/>
      <c r="C46" s="144"/>
      <c r="D46" s="144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</row>
    <row r="47" spans="1:16" x14ac:dyDescent="0.2">
      <c r="A47" s="173"/>
      <c r="B47" s="66"/>
      <c r="C47" s="66"/>
      <c r="D47" s="66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1:16" x14ac:dyDescent="0.2">
      <c r="A48" s="173"/>
      <c r="B48" s="66"/>
      <c r="C48" s="66"/>
      <c r="D48" s="66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1:16" x14ac:dyDescent="0.2">
      <c r="A49" s="173"/>
      <c r="B49" s="66"/>
      <c r="C49" s="66"/>
      <c r="D49" s="66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1:16" x14ac:dyDescent="0.2">
      <c r="A50" s="173"/>
      <c r="B50" s="66"/>
      <c r="C50" s="66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1:16" x14ac:dyDescent="0.2">
      <c r="A51" s="173"/>
      <c r="B51" s="66"/>
      <c r="C51" s="66"/>
      <c r="D51" s="66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1:16" x14ac:dyDescent="0.2">
      <c r="A52" s="173"/>
      <c r="B52" s="66"/>
      <c r="C52" s="66"/>
      <c r="D52" s="66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1:16" x14ac:dyDescent="0.2">
      <c r="A53" s="173"/>
      <c r="B53" s="66"/>
      <c r="C53" s="66"/>
      <c r="D53" s="66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1:16" x14ac:dyDescent="0.2">
      <c r="A54" s="173"/>
      <c r="B54" s="66"/>
      <c r="C54" s="66"/>
      <c r="D54" s="66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1:16" x14ac:dyDescent="0.2">
      <c r="A55" s="173"/>
      <c r="B55" s="66"/>
      <c r="C55" s="66"/>
      <c r="D55" s="66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1:16" x14ac:dyDescent="0.2">
      <c r="A56" s="173"/>
      <c r="B56" s="66"/>
      <c r="C56" s="66"/>
      <c r="D56" s="66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1:16" x14ac:dyDescent="0.2">
      <c r="A57" s="173"/>
      <c r="B57" s="66"/>
      <c r="C57" s="66"/>
      <c r="D57" s="66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1:16" x14ac:dyDescent="0.2">
      <c r="A58" s="173"/>
      <c r="B58" s="66"/>
      <c r="C58" s="66"/>
      <c r="D58" s="66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6" x14ac:dyDescent="0.2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</row>
    <row r="60" spans="1:16" x14ac:dyDescent="0.2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ht="15" x14ac:dyDescent="0.25">
      <c r="A61" s="174"/>
      <c r="B61" s="174"/>
      <c r="C61" s="144"/>
      <c r="D61" s="144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</row>
    <row r="62" spans="1:16" ht="15" x14ac:dyDescent="0.2">
      <c r="A62" s="174"/>
      <c r="B62" s="174"/>
      <c r="C62" s="144"/>
      <c r="D62" s="144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</row>
    <row r="63" spans="1:16" ht="15" x14ac:dyDescent="0.2">
      <c r="A63" s="174"/>
      <c r="B63" s="175"/>
      <c r="C63" s="145"/>
      <c r="D63" s="145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</row>
    <row r="64" spans="1:16" ht="15" x14ac:dyDescent="0.2">
      <c r="A64" s="174"/>
      <c r="B64" s="174"/>
      <c r="C64" s="144"/>
      <c r="D64" s="144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</row>
    <row r="65" spans="1:16" ht="15" x14ac:dyDescent="0.2">
      <c r="A65" s="174"/>
      <c r="B65" s="174"/>
      <c r="C65" s="144"/>
      <c r="D65" s="144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</row>
    <row r="66" spans="1:16" x14ac:dyDescent="0.2">
      <c r="A66" s="173"/>
      <c r="B66" s="66"/>
      <c r="C66" s="66"/>
      <c r="D66" s="66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1:16" x14ac:dyDescent="0.2">
      <c r="A67" s="173"/>
      <c r="B67" s="66"/>
      <c r="C67" s="66"/>
      <c r="D67" s="66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1:16" x14ac:dyDescent="0.2">
      <c r="A68" s="173"/>
      <c r="B68" s="66"/>
      <c r="C68" s="66"/>
      <c r="D68" s="66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1:16" x14ac:dyDescent="0.2">
      <c r="A69" s="173"/>
      <c r="B69" s="66"/>
      <c r="C69" s="66"/>
      <c r="D69" s="66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1:16" x14ac:dyDescent="0.2">
      <c r="A70" s="173"/>
      <c r="B70" s="66"/>
      <c r="C70" s="66"/>
      <c r="D70" s="66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1:16" x14ac:dyDescent="0.2">
      <c r="A71" s="173"/>
      <c r="B71" s="66"/>
      <c r="C71" s="66"/>
      <c r="D71" s="66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1:16" x14ac:dyDescent="0.2">
      <c r="A72" s="173"/>
      <c r="B72" s="66"/>
      <c r="C72" s="66"/>
      <c r="D72" s="66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1:16" x14ac:dyDescent="0.2">
      <c r="A73" s="173"/>
      <c r="B73" s="66"/>
      <c r="C73" s="66"/>
      <c r="D73" s="66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1:16" x14ac:dyDescent="0.2">
      <c r="A74" s="173"/>
      <c r="B74" s="66"/>
      <c r="C74" s="66"/>
      <c r="D74" s="66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1:16" x14ac:dyDescent="0.2">
      <c r="A75" s="173"/>
      <c r="B75" s="66"/>
      <c r="C75" s="66"/>
      <c r="D75" s="66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1:16" x14ac:dyDescent="0.2">
      <c r="A76" s="173"/>
      <c r="B76" s="66"/>
      <c r="C76" s="66"/>
      <c r="D76" s="66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1:16" x14ac:dyDescent="0.2">
      <c r="A77" s="173"/>
      <c r="B77" s="66"/>
      <c r="C77" s="66"/>
      <c r="D77" s="66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1:16" x14ac:dyDescent="0.2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</row>
    <row r="79" spans="1:16" x14ac:dyDescent="0.2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</row>
    <row r="80" spans="1:16" ht="15" x14ac:dyDescent="0.25">
      <c r="A80" s="174"/>
      <c r="B80" s="174"/>
      <c r="C80" s="144"/>
      <c r="D80" s="144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</row>
    <row r="81" spans="1:16" ht="15" x14ac:dyDescent="0.2">
      <c r="A81" s="174"/>
      <c r="B81" s="174"/>
      <c r="C81" s="144"/>
      <c r="D81" s="144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</row>
    <row r="82" spans="1:16" ht="15" x14ac:dyDescent="0.2">
      <c r="A82" s="174"/>
      <c r="B82" s="175"/>
      <c r="C82" s="145"/>
      <c r="D82" s="145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</row>
    <row r="83" spans="1:16" ht="15" x14ac:dyDescent="0.2">
      <c r="A83" s="174"/>
      <c r="B83" s="174"/>
      <c r="C83" s="144"/>
      <c r="D83" s="144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</row>
    <row r="84" spans="1:16" ht="15" x14ac:dyDescent="0.2">
      <c r="A84" s="174"/>
      <c r="B84" s="174"/>
      <c r="C84" s="144"/>
      <c r="D84" s="144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</row>
    <row r="85" spans="1:16" x14ac:dyDescent="0.2">
      <c r="A85" s="173"/>
      <c r="B85" s="66"/>
      <c r="C85" s="66"/>
      <c r="D85" s="66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1:16" x14ac:dyDescent="0.2">
      <c r="A86" s="173"/>
      <c r="B86" s="66"/>
      <c r="C86" s="66"/>
      <c r="D86" s="66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1:16" x14ac:dyDescent="0.2">
      <c r="A87" s="173"/>
      <c r="B87" s="66"/>
      <c r="C87" s="66"/>
      <c r="D87" s="66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1:16" x14ac:dyDescent="0.2">
      <c r="A88" s="173"/>
      <c r="B88" s="66"/>
      <c r="C88" s="66"/>
      <c r="D88" s="66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1:16" x14ac:dyDescent="0.2">
      <c r="A89" s="173"/>
      <c r="B89" s="66"/>
      <c r="C89" s="66"/>
      <c r="D89" s="66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1:16" x14ac:dyDescent="0.2">
      <c r="A90" s="173"/>
      <c r="B90" s="66"/>
      <c r="C90" s="66"/>
      <c r="D90" s="66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1:16" x14ac:dyDescent="0.2">
      <c r="A91" s="173"/>
      <c r="B91" s="66"/>
      <c r="C91" s="66"/>
      <c r="D91" s="66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1:16" x14ac:dyDescent="0.2">
      <c r="A92" s="173"/>
      <c r="B92" s="66"/>
      <c r="C92" s="66"/>
      <c r="D92" s="66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1:16" x14ac:dyDescent="0.2">
      <c r="A93" s="173"/>
      <c r="B93" s="66"/>
      <c r="C93" s="66"/>
      <c r="D93" s="66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1:16" x14ac:dyDescent="0.2">
      <c r="A94" s="173"/>
      <c r="B94" s="66"/>
      <c r="C94" s="66"/>
      <c r="D94" s="66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1:16" x14ac:dyDescent="0.2">
      <c r="A95" s="173"/>
      <c r="B95" s="66"/>
      <c r="C95" s="66"/>
      <c r="D95" s="66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1:16" x14ac:dyDescent="0.2">
      <c r="A96" s="173"/>
      <c r="B96" s="66"/>
      <c r="C96" s="66"/>
      <c r="D96" s="66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1:16" x14ac:dyDescent="0.2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</row>
    <row r="98" spans="1:16" x14ac:dyDescent="0.2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</row>
    <row r="99" spans="1:16" ht="15" x14ac:dyDescent="0.25">
      <c r="A99" s="174"/>
      <c r="B99" s="174"/>
      <c r="C99" s="144"/>
      <c r="D99" s="144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</row>
    <row r="100" spans="1:16" ht="15" x14ac:dyDescent="0.2">
      <c r="A100" s="174"/>
      <c r="B100" s="174"/>
      <c r="C100" s="144"/>
      <c r="D100" s="144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</row>
    <row r="101" spans="1:16" ht="15" x14ac:dyDescent="0.2">
      <c r="A101" s="174"/>
      <c r="B101" s="175"/>
      <c r="C101" s="145"/>
      <c r="D101" s="145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</row>
    <row r="102" spans="1:16" ht="15" x14ac:dyDescent="0.2">
      <c r="A102" s="174"/>
      <c r="B102" s="174"/>
      <c r="C102" s="144"/>
      <c r="D102" s="144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</row>
    <row r="103" spans="1:16" ht="15" x14ac:dyDescent="0.2">
      <c r="A103" s="174"/>
      <c r="B103" s="174"/>
      <c r="C103" s="144"/>
      <c r="D103" s="144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</row>
    <row r="104" spans="1:16" x14ac:dyDescent="0.2">
      <c r="A104" s="173"/>
      <c r="B104" s="66"/>
      <c r="C104" s="66"/>
      <c r="D104" s="66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1:16" x14ac:dyDescent="0.2">
      <c r="A105" s="173"/>
      <c r="B105" s="66"/>
      <c r="C105" s="66"/>
      <c r="D105" s="66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1:16" x14ac:dyDescent="0.2">
      <c r="A106" s="173"/>
      <c r="B106" s="66"/>
      <c r="C106" s="66"/>
      <c r="D106" s="66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1:16" x14ac:dyDescent="0.2">
      <c r="A107" s="173"/>
      <c r="B107" s="66"/>
      <c r="C107" s="66"/>
      <c r="D107" s="66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1:16" x14ac:dyDescent="0.2">
      <c r="A108" s="173"/>
      <c r="B108" s="66"/>
      <c r="C108" s="66"/>
      <c r="D108" s="66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1:16" x14ac:dyDescent="0.2">
      <c r="A109" s="173"/>
      <c r="B109" s="66"/>
      <c r="C109" s="66"/>
      <c r="D109" s="66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1:16" x14ac:dyDescent="0.2">
      <c r="A110" s="173"/>
      <c r="B110" s="66"/>
      <c r="C110" s="66"/>
      <c r="D110" s="66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  <row r="111" spans="1:16" x14ac:dyDescent="0.2">
      <c r="A111" s="173"/>
      <c r="B111" s="66"/>
      <c r="C111" s="66"/>
      <c r="D111" s="66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</row>
    <row r="112" spans="1:16" x14ac:dyDescent="0.2">
      <c r="A112" s="173"/>
      <c r="B112" s="66"/>
      <c r="C112" s="66"/>
      <c r="D112" s="66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</row>
    <row r="113" spans="1:16" x14ac:dyDescent="0.2">
      <c r="A113" s="173"/>
      <c r="B113" s="66"/>
      <c r="C113" s="66"/>
      <c r="D113" s="66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</row>
    <row r="114" spans="1:16" x14ac:dyDescent="0.2">
      <c r="A114" s="173"/>
      <c r="B114" s="66"/>
      <c r="C114" s="66"/>
      <c r="D114" s="66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</row>
    <row r="115" spans="1:16" x14ac:dyDescent="0.2">
      <c r="A115" s="173"/>
      <c r="B115" s="66"/>
      <c r="C115" s="66"/>
      <c r="D115" s="66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</row>
    <row r="116" spans="1:16" x14ac:dyDescent="0.2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</row>
    <row r="117" spans="1:16" x14ac:dyDescent="0.2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</row>
    <row r="118" spans="1:16" ht="15" x14ac:dyDescent="0.25">
      <c r="A118" s="174"/>
      <c r="B118" s="174"/>
      <c r="C118" s="144"/>
      <c r="D118" s="144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</row>
    <row r="119" spans="1:16" ht="15" x14ac:dyDescent="0.2">
      <c r="A119" s="174"/>
      <c r="B119" s="174"/>
      <c r="C119" s="144"/>
      <c r="D119" s="144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</row>
    <row r="120" spans="1:16" ht="15" x14ac:dyDescent="0.2">
      <c r="A120" s="174"/>
      <c r="B120" s="175"/>
      <c r="C120" s="145"/>
      <c r="D120" s="145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</row>
    <row r="121" spans="1:16" ht="15" x14ac:dyDescent="0.2">
      <c r="A121" s="174"/>
      <c r="B121" s="174"/>
      <c r="C121" s="144"/>
      <c r="D121" s="144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</row>
    <row r="122" spans="1:16" ht="15" x14ac:dyDescent="0.2">
      <c r="A122" s="174"/>
      <c r="B122" s="174"/>
      <c r="C122" s="144"/>
      <c r="D122" s="144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x14ac:dyDescent="0.2">
      <c r="A123" s="173"/>
      <c r="B123" s="66"/>
      <c r="C123" s="66"/>
      <c r="D123" s="66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</row>
    <row r="124" spans="1:16" x14ac:dyDescent="0.2">
      <c r="A124" s="173"/>
      <c r="B124" s="66"/>
      <c r="C124" s="66"/>
      <c r="D124" s="66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</row>
    <row r="125" spans="1:16" x14ac:dyDescent="0.2">
      <c r="A125" s="173"/>
      <c r="B125" s="66"/>
      <c r="C125" s="66"/>
      <c r="D125" s="66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</row>
    <row r="126" spans="1:16" x14ac:dyDescent="0.2">
      <c r="A126" s="173"/>
      <c r="B126" s="66"/>
      <c r="C126" s="66"/>
      <c r="D126" s="66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</row>
    <row r="127" spans="1:16" x14ac:dyDescent="0.2">
      <c r="A127" s="173"/>
      <c r="B127" s="66"/>
      <c r="C127" s="66"/>
      <c r="D127" s="66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</row>
    <row r="128" spans="1:16" x14ac:dyDescent="0.2">
      <c r="A128" s="173"/>
      <c r="B128" s="66"/>
      <c r="C128" s="66"/>
      <c r="D128" s="66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</row>
    <row r="129" spans="1:16" x14ac:dyDescent="0.2">
      <c r="A129" s="173"/>
      <c r="B129" s="66"/>
      <c r="C129" s="66"/>
      <c r="D129" s="66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</row>
    <row r="130" spans="1:16" x14ac:dyDescent="0.2">
      <c r="A130" s="173"/>
      <c r="B130" s="66"/>
      <c r="C130" s="66"/>
      <c r="D130" s="66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</row>
    <row r="131" spans="1:16" x14ac:dyDescent="0.2">
      <c r="A131" s="173"/>
      <c r="B131" s="66"/>
      <c r="C131" s="66"/>
      <c r="D131" s="66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</row>
    <row r="132" spans="1:16" x14ac:dyDescent="0.2">
      <c r="A132" s="173"/>
      <c r="B132" s="66"/>
      <c r="C132" s="66"/>
      <c r="D132" s="66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</row>
    <row r="133" spans="1:16" x14ac:dyDescent="0.2">
      <c r="A133" s="173"/>
      <c r="B133" s="66"/>
      <c r="C133" s="66"/>
      <c r="D133" s="66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</row>
    <row r="134" spans="1:16" x14ac:dyDescent="0.2">
      <c r="A134" s="173"/>
      <c r="B134" s="66"/>
      <c r="C134" s="66"/>
      <c r="D134" s="66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</row>
    <row r="135" spans="1:16" x14ac:dyDescent="0.2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</row>
    <row r="136" spans="1:16" x14ac:dyDescent="0.2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</row>
    <row r="137" spans="1:16" x14ac:dyDescent="0.2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</row>
    <row r="138" spans="1:16" x14ac:dyDescent="0.2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</row>
  </sheetData>
  <mergeCells count="220">
    <mergeCell ref="A131:A134"/>
    <mergeCell ref="M121:M122"/>
    <mergeCell ref="N121:N122"/>
    <mergeCell ref="O121:O122"/>
    <mergeCell ref="P121:P122"/>
    <mergeCell ref="A123:A126"/>
    <mergeCell ref="A127:A130"/>
    <mergeCell ref="M120:N120"/>
    <mergeCell ref="O120:P120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A120:A122"/>
    <mergeCell ref="B120:B122"/>
    <mergeCell ref="E120:F120"/>
    <mergeCell ref="G120:H120"/>
    <mergeCell ref="I120:J120"/>
    <mergeCell ref="K120:L120"/>
    <mergeCell ref="A112:A115"/>
    <mergeCell ref="A118:B119"/>
    <mergeCell ref="E118:P118"/>
    <mergeCell ref="E119:F119"/>
    <mergeCell ref="G119:H119"/>
    <mergeCell ref="I119:J119"/>
    <mergeCell ref="K119:L119"/>
    <mergeCell ref="M119:N119"/>
    <mergeCell ref="O119:P119"/>
    <mergeCell ref="M102:M103"/>
    <mergeCell ref="N102:N103"/>
    <mergeCell ref="O102:O103"/>
    <mergeCell ref="P102:P103"/>
    <mergeCell ref="A104:A107"/>
    <mergeCell ref="A108:A111"/>
    <mergeCell ref="M101:N101"/>
    <mergeCell ref="O101:P101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A101:A103"/>
    <mergeCell ref="B101:B103"/>
    <mergeCell ref="E101:F101"/>
    <mergeCell ref="G101:H101"/>
    <mergeCell ref="I101:J101"/>
    <mergeCell ref="K101:L101"/>
    <mergeCell ref="A93:A96"/>
    <mergeCell ref="A99:B100"/>
    <mergeCell ref="E99:P99"/>
    <mergeCell ref="E100:F100"/>
    <mergeCell ref="G100:H100"/>
    <mergeCell ref="I100:J100"/>
    <mergeCell ref="K100:L100"/>
    <mergeCell ref="M100:N100"/>
    <mergeCell ref="O100:P100"/>
    <mergeCell ref="M83:M84"/>
    <mergeCell ref="N83:N84"/>
    <mergeCell ref="O83:O84"/>
    <mergeCell ref="P83:P84"/>
    <mergeCell ref="A85:A88"/>
    <mergeCell ref="A89:A92"/>
    <mergeCell ref="M82:N82"/>
    <mergeCell ref="O82:P82"/>
    <mergeCell ref="E83:E84"/>
    <mergeCell ref="F83:F84"/>
    <mergeCell ref="G83:G84"/>
    <mergeCell ref="H83:H84"/>
    <mergeCell ref="I83:I84"/>
    <mergeCell ref="J83:J84"/>
    <mergeCell ref="K83:K84"/>
    <mergeCell ref="L83:L84"/>
    <mergeCell ref="A82:A84"/>
    <mergeCell ref="B82:B84"/>
    <mergeCell ref="E82:F82"/>
    <mergeCell ref="G82:H82"/>
    <mergeCell ref="I82:J82"/>
    <mergeCell ref="K82:L82"/>
    <mergeCell ref="A74:A77"/>
    <mergeCell ref="A80:B81"/>
    <mergeCell ref="E80:P80"/>
    <mergeCell ref="E81:F81"/>
    <mergeCell ref="G81:H81"/>
    <mergeCell ref="I81:J81"/>
    <mergeCell ref="K81:L81"/>
    <mergeCell ref="M81:N81"/>
    <mergeCell ref="O81:P81"/>
    <mergeCell ref="M64:M65"/>
    <mergeCell ref="N64:N65"/>
    <mergeCell ref="O64:O65"/>
    <mergeCell ref="P64:P65"/>
    <mergeCell ref="A66:A69"/>
    <mergeCell ref="A70:A73"/>
    <mergeCell ref="M63:N63"/>
    <mergeCell ref="O63:P63"/>
    <mergeCell ref="E64:E65"/>
    <mergeCell ref="F64:F65"/>
    <mergeCell ref="G64:G65"/>
    <mergeCell ref="H64:H65"/>
    <mergeCell ref="I64:I65"/>
    <mergeCell ref="J64:J65"/>
    <mergeCell ref="K64:K65"/>
    <mergeCell ref="L64:L65"/>
    <mergeCell ref="A63:A65"/>
    <mergeCell ref="B63:B65"/>
    <mergeCell ref="E63:F63"/>
    <mergeCell ref="G63:H63"/>
    <mergeCell ref="I63:J63"/>
    <mergeCell ref="K63:L63"/>
    <mergeCell ref="A55:A58"/>
    <mergeCell ref="A61:B62"/>
    <mergeCell ref="E61:P61"/>
    <mergeCell ref="E62:F62"/>
    <mergeCell ref="G62:H62"/>
    <mergeCell ref="I62:J62"/>
    <mergeCell ref="K62:L62"/>
    <mergeCell ref="M62:N62"/>
    <mergeCell ref="O62:P62"/>
    <mergeCell ref="M45:M46"/>
    <mergeCell ref="N45:N46"/>
    <mergeCell ref="O45:O46"/>
    <mergeCell ref="P45:P46"/>
    <mergeCell ref="A47:A50"/>
    <mergeCell ref="A51:A54"/>
    <mergeCell ref="M44:N44"/>
    <mergeCell ref="O44:P44"/>
    <mergeCell ref="E45:E46"/>
    <mergeCell ref="F45:F46"/>
    <mergeCell ref="G45:G46"/>
    <mergeCell ref="H45:H46"/>
    <mergeCell ref="I45:I46"/>
    <mergeCell ref="J45:J46"/>
    <mergeCell ref="K45:K46"/>
    <mergeCell ref="L45:L46"/>
    <mergeCell ref="A44:A46"/>
    <mergeCell ref="B44:B46"/>
    <mergeCell ref="E44:F44"/>
    <mergeCell ref="G44:H44"/>
    <mergeCell ref="I44:J44"/>
    <mergeCell ref="K44:L44"/>
    <mergeCell ref="A36:A39"/>
    <mergeCell ref="A42:B43"/>
    <mergeCell ref="E42:P42"/>
    <mergeCell ref="E43:F43"/>
    <mergeCell ref="G43:H43"/>
    <mergeCell ref="I43:J43"/>
    <mergeCell ref="K43:L43"/>
    <mergeCell ref="M43:N43"/>
    <mergeCell ref="O43:P43"/>
    <mergeCell ref="M26:M27"/>
    <mergeCell ref="N26:N27"/>
    <mergeCell ref="O26:O27"/>
    <mergeCell ref="P26:P27"/>
    <mergeCell ref="A28:A31"/>
    <mergeCell ref="A32:A35"/>
    <mergeCell ref="M25:N25"/>
    <mergeCell ref="O25:P25"/>
    <mergeCell ref="E26:E27"/>
    <mergeCell ref="F26:F27"/>
    <mergeCell ref="G26:G27"/>
    <mergeCell ref="H26:H27"/>
    <mergeCell ref="I26:I27"/>
    <mergeCell ref="J26:J27"/>
    <mergeCell ref="K26:K27"/>
    <mergeCell ref="L26:L27"/>
    <mergeCell ref="A25:A27"/>
    <mergeCell ref="B25:B27"/>
    <mergeCell ref="E25:F25"/>
    <mergeCell ref="G25:H25"/>
    <mergeCell ref="I25:J25"/>
    <mergeCell ref="K25:L25"/>
    <mergeCell ref="A8:A11"/>
    <mergeCell ref="A12:A15"/>
    <mergeCell ref="A16:A19"/>
    <mergeCell ref="E23:P23"/>
    <mergeCell ref="E24:F24"/>
    <mergeCell ref="G24:H24"/>
    <mergeCell ref="I24:J24"/>
    <mergeCell ref="K24:L24"/>
    <mergeCell ref="M24:N24"/>
    <mergeCell ref="O24:P24"/>
    <mergeCell ref="K6:K7"/>
    <mergeCell ref="L6:L7"/>
    <mergeCell ref="M6:M7"/>
    <mergeCell ref="N6:N7"/>
    <mergeCell ref="O6:O7"/>
    <mergeCell ref="P6:P7"/>
    <mergeCell ref="K5:L5"/>
    <mergeCell ref="M5:N5"/>
    <mergeCell ref="O5:P5"/>
    <mergeCell ref="C6:C7"/>
    <mergeCell ref="D6:D7"/>
    <mergeCell ref="E6:E7"/>
    <mergeCell ref="F6:F7"/>
    <mergeCell ref="G6:G7"/>
    <mergeCell ref="H6:H7"/>
    <mergeCell ref="I6:I7"/>
    <mergeCell ref="A5:A7"/>
    <mergeCell ref="B5:B7"/>
    <mergeCell ref="C5:D5"/>
    <mergeCell ref="E5:F5"/>
    <mergeCell ref="G5:H5"/>
    <mergeCell ref="I5:J5"/>
    <mergeCell ref="J6:J7"/>
    <mergeCell ref="A3:B3"/>
    <mergeCell ref="C3:P3"/>
    <mergeCell ref="C4:D4"/>
    <mergeCell ref="E4:F4"/>
    <mergeCell ref="G4:H4"/>
    <mergeCell ref="I4:J4"/>
    <mergeCell ref="K4:L4"/>
    <mergeCell ref="M4:N4"/>
    <mergeCell ref="O4:P4"/>
  </mergeCells>
  <pageMargins left="0.25" right="0.25" top="0.75" bottom="0.75" header="0.5" footer="0.5"/>
  <pageSetup scale="2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theme="9" tint="-0.249977111117893"/>
    <pageSetUpPr fitToPage="1"/>
  </sheetPr>
  <dimension ref="A1:AS138"/>
  <sheetViews>
    <sheetView workbookViewId="0">
      <selection activeCell="C8" sqref="C8:P19"/>
    </sheetView>
  </sheetViews>
  <sheetFormatPr defaultRowHeight="12.75" x14ac:dyDescent="0.2"/>
  <cols>
    <col min="1" max="16384" width="9.140625" style="49"/>
  </cols>
  <sheetData>
    <row r="1" spans="1:45" x14ac:dyDescent="0.2">
      <c r="A1" s="48"/>
    </row>
    <row r="2" spans="1:45" ht="13.5" thickBot="1" x14ac:dyDescent="0.25">
      <c r="A2" s="49" t="s">
        <v>95</v>
      </c>
    </row>
    <row r="3" spans="1:45" ht="15" x14ac:dyDescent="0.25">
      <c r="A3" s="153" t="s">
        <v>20</v>
      </c>
      <c r="B3" s="154"/>
      <c r="C3" s="155" t="s">
        <v>5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7"/>
    </row>
    <row r="4" spans="1:45" ht="12.75" customHeight="1" x14ac:dyDescent="0.2">
      <c r="A4" s="50">
        <v>80</v>
      </c>
      <c r="B4" s="51" t="s">
        <v>19</v>
      </c>
      <c r="C4" s="158">
        <v>65</v>
      </c>
      <c r="D4" s="158"/>
      <c r="E4" s="158">
        <v>75</v>
      </c>
      <c r="F4" s="158"/>
      <c r="G4" s="158">
        <v>80</v>
      </c>
      <c r="H4" s="158"/>
      <c r="I4" s="158">
        <v>85</v>
      </c>
      <c r="J4" s="158"/>
      <c r="K4" s="158">
        <v>90</v>
      </c>
      <c r="L4" s="158"/>
      <c r="M4" s="158">
        <v>95</v>
      </c>
      <c r="N4" s="158"/>
      <c r="O4" s="158">
        <v>105</v>
      </c>
      <c r="P4" s="159"/>
    </row>
    <row r="5" spans="1:45" x14ac:dyDescent="0.2">
      <c r="A5" s="162" t="s">
        <v>0</v>
      </c>
      <c r="B5" s="164" t="s">
        <v>9</v>
      </c>
      <c r="C5" s="158" t="s">
        <v>1</v>
      </c>
      <c r="D5" s="158"/>
      <c r="E5" s="158" t="s">
        <v>1</v>
      </c>
      <c r="F5" s="158"/>
      <c r="G5" s="158" t="s">
        <v>1</v>
      </c>
      <c r="H5" s="158"/>
      <c r="I5" s="158" t="s">
        <v>1</v>
      </c>
      <c r="J5" s="158"/>
      <c r="K5" s="158" t="s">
        <v>1</v>
      </c>
      <c r="L5" s="158"/>
      <c r="M5" s="158" t="s">
        <v>1</v>
      </c>
      <c r="N5" s="158"/>
      <c r="O5" s="158" t="s">
        <v>1</v>
      </c>
      <c r="P5" s="159"/>
    </row>
    <row r="6" spans="1:45" ht="15" customHeight="1" x14ac:dyDescent="0.2">
      <c r="A6" s="162"/>
      <c r="B6" s="165"/>
      <c r="C6" s="160" t="s">
        <v>2</v>
      </c>
      <c r="D6" s="158" t="s">
        <v>3</v>
      </c>
      <c r="E6" s="160" t="s">
        <v>2</v>
      </c>
      <c r="F6" s="158" t="s">
        <v>3</v>
      </c>
      <c r="G6" s="158" t="s">
        <v>2</v>
      </c>
      <c r="H6" s="158" t="s">
        <v>3</v>
      </c>
      <c r="I6" s="158" t="s">
        <v>2</v>
      </c>
      <c r="J6" s="158" t="s">
        <v>3</v>
      </c>
      <c r="K6" s="158" t="s">
        <v>2</v>
      </c>
      <c r="L6" s="158" t="s">
        <v>3</v>
      </c>
      <c r="M6" s="158" t="s">
        <v>2</v>
      </c>
      <c r="N6" s="158" t="s">
        <v>3</v>
      </c>
      <c r="O6" s="158" t="s">
        <v>2</v>
      </c>
      <c r="P6" s="159" t="s">
        <v>3</v>
      </c>
    </row>
    <row r="7" spans="1:45" ht="15.75" customHeight="1" thickBot="1" x14ac:dyDescent="0.25">
      <c r="A7" s="163"/>
      <c r="B7" s="166"/>
      <c r="C7" s="161"/>
      <c r="D7" s="160"/>
      <c r="E7" s="161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7"/>
      <c r="R7" s="49" t="s">
        <v>26</v>
      </c>
      <c r="Y7" s="49" t="s">
        <v>12</v>
      </c>
      <c r="AF7" s="49" t="s">
        <v>83</v>
      </c>
      <c r="AM7" s="49" t="s">
        <v>84</v>
      </c>
    </row>
    <row r="8" spans="1:45" x14ac:dyDescent="0.2">
      <c r="A8" s="168">
        <v>1050</v>
      </c>
      <c r="B8" s="52">
        <v>72</v>
      </c>
      <c r="C8" s="53">
        <f>R8*$M$14</f>
        <v>27.825388601036273</v>
      </c>
      <c r="D8" s="53">
        <f t="shared" ref="D8:D19" si="0">IF(AM8&gt;C8,C8,AM8)</f>
        <v>13.220207253886011</v>
      </c>
      <c r="E8" s="53">
        <f>S8*$M$14</f>
        <v>27.951295336787563</v>
      </c>
      <c r="F8" s="53">
        <f t="shared" ref="F8:F19" si="1">IF(AN8&gt;E8,E8,AN8)</f>
        <v>13.4720207253886</v>
      </c>
      <c r="G8" s="53">
        <f>T8*$M$14</f>
        <v>27.699481865284977</v>
      </c>
      <c r="H8" s="53">
        <f t="shared" ref="H8:H19" si="2">IF(AO8&gt;G8,G8,AO8)</f>
        <v>13.409067357512953</v>
      </c>
      <c r="I8" s="53">
        <f>U8*$M$14</f>
        <v>27.447668393782383</v>
      </c>
      <c r="J8" s="53">
        <f t="shared" ref="J8:J19" si="3">IF(AP8&gt;I8,I8,AP8)</f>
        <v>13.346113989637304</v>
      </c>
      <c r="K8" s="53">
        <f>V8*$M$14</f>
        <v>26.912564766839377</v>
      </c>
      <c r="L8" s="53">
        <f t="shared" ref="L8:L19" si="4">IF(AQ8&gt;K8,K8,AQ8)</f>
        <v>13.157253886010363</v>
      </c>
      <c r="M8" s="53">
        <f>W8*$M$14</f>
        <v>26.377461139896372</v>
      </c>
      <c r="N8" s="53">
        <f t="shared" ref="N8:N19" si="5">IF(AR8&gt;M8,M8,AR8)</f>
        <v>12.968393782383421</v>
      </c>
      <c r="O8" s="53">
        <f>X8*$M$14</f>
        <v>24.614766839378241</v>
      </c>
      <c r="P8" s="54">
        <f t="shared" ref="P8:P19" si="6">IF(AS8&gt;O8,O8,AS8)</f>
        <v>12.275906735751295</v>
      </c>
      <c r="R8" s="146">
        <v>1.145077720207254</v>
      </c>
      <c r="S8" s="146">
        <v>1.1502590673575128</v>
      </c>
      <c r="T8" s="146">
        <v>1.1398963730569949</v>
      </c>
      <c r="U8" s="146">
        <v>1.1295336787564767</v>
      </c>
      <c r="V8" s="146">
        <v>1.1075129533678756</v>
      </c>
      <c r="W8" s="146">
        <v>1.0854922279792745</v>
      </c>
      <c r="X8" s="146">
        <v>1.0129533678756477</v>
      </c>
      <c r="Y8" s="147">
        <v>0.47511312217194568</v>
      </c>
      <c r="Z8" s="147">
        <v>0.48198198198198194</v>
      </c>
      <c r="AA8" s="147">
        <v>0.48409090909090902</v>
      </c>
      <c r="AB8" s="147">
        <v>0.48623853211009171</v>
      </c>
      <c r="AC8" s="147">
        <v>0.48888888888888887</v>
      </c>
      <c r="AD8" s="147">
        <v>0.49164677804295948</v>
      </c>
      <c r="AE8" s="147">
        <v>0.49872122762148335</v>
      </c>
      <c r="AF8" s="148">
        <v>1.0666666666666662</v>
      </c>
      <c r="AG8" s="148">
        <v>1.0857142857142863</v>
      </c>
      <c r="AH8" s="148">
        <v>1.0761904761904764</v>
      </c>
      <c r="AI8" s="148">
        <v>1.0666666666666669</v>
      </c>
      <c r="AJ8" s="148">
        <v>1.038095238095238</v>
      </c>
      <c r="AK8" s="148">
        <v>1.0095238095238088</v>
      </c>
      <c r="AL8" s="148">
        <v>0.93333333333333313</v>
      </c>
      <c r="AM8" s="138">
        <f>Y8*C8+($A$4-80)*AF8*$A$8/1000</f>
        <v>13.220207253886011</v>
      </c>
      <c r="AN8" s="138">
        <f>Z8*E8+($A$4-80)*AG8*$A$8/1000</f>
        <v>13.4720207253886</v>
      </c>
      <c r="AO8" s="138">
        <f>AA8*G8+($A$4-80)*AH8*$A$8/1000</f>
        <v>13.409067357512953</v>
      </c>
      <c r="AP8" s="138">
        <f>AB8*I8+($A$4-80)*AI8*$A$8/1000</f>
        <v>13.346113989637304</v>
      </c>
      <c r="AQ8" s="138">
        <f>AC8*K8+($A$4-80)*AJ8*$A$8/1000</f>
        <v>13.157253886010363</v>
      </c>
      <c r="AR8" s="138">
        <f>AD8*M8+($A$4-80)*AK8*$A$8/1000</f>
        <v>12.968393782383421</v>
      </c>
      <c r="AS8" s="138">
        <f>AE8*O8+($A$4-80)*AL8*$A$8/1000</f>
        <v>12.275906735751295</v>
      </c>
    </row>
    <row r="9" spans="1:45" x14ac:dyDescent="0.2">
      <c r="A9" s="169"/>
      <c r="B9" s="55">
        <v>69.5</v>
      </c>
      <c r="C9" s="56">
        <f t="shared" ref="C9:C19" si="7">R9*$M$14</f>
        <v>27.195854922279793</v>
      </c>
      <c r="D9" s="56">
        <f t="shared" si="0"/>
        <v>15.171761658031087</v>
      </c>
      <c r="E9" s="56">
        <f t="shared" ref="E9:E19" si="8">S9*$M$14</f>
        <v>26.975518134715021</v>
      </c>
      <c r="F9" s="56">
        <f t="shared" si="1"/>
        <v>15.203238341968909</v>
      </c>
      <c r="G9" s="56">
        <f t="shared" ref="G9:G19" si="9">T9*$M$14</f>
        <v>26.629274611398962</v>
      </c>
      <c r="H9" s="56">
        <f t="shared" si="2"/>
        <v>15.093069948186528</v>
      </c>
      <c r="I9" s="56">
        <f t="shared" ref="I9:I19" si="10">U9*$M$14</f>
        <v>26.283031088082904</v>
      </c>
      <c r="J9" s="56">
        <f t="shared" si="3"/>
        <v>14.982901554404146</v>
      </c>
      <c r="K9" s="56">
        <f t="shared" ref="K9:K19" si="11">V9*$M$14</f>
        <v>25.684974093264248</v>
      </c>
      <c r="L9" s="56">
        <f t="shared" si="4"/>
        <v>14.762564766839379</v>
      </c>
      <c r="M9" s="56">
        <f t="shared" ref="M9:M13" si="12">W9*$M$14</f>
        <v>25.086917098445593</v>
      </c>
      <c r="N9" s="56">
        <f t="shared" si="5"/>
        <v>14.542227979274612</v>
      </c>
      <c r="O9" s="56">
        <f t="shared" ref="O9:O19" si="13">X9*$M$14</f>
        <v>23.387176165803112</v>
      </c>
      <c r="P9" s="57">
        <f t="shared" si="6"/>
        <v>13.849740932642487</v>
      </c>
      <c r="R9" s="146">
        <v>1.1191709844559585</v>
      </c>
      <c r="S9" s="146">
        <v>1.1101036269430049</v>
      </c>
      <c r="T9" s="146">
        <v>1.0958549222797926</v>
      </c>
      <c r="U9" s="146">
        <v>1.0816062176165804</v>
      </c>
      <c r="V9" s="146">
        <v>1.0569948186528497</v>
      </c>
      <c r="W9" s="146">
        <v>1.0323834196891191</v>
      </c>
      <c r="X9" s="146">
        <v>0.96243523316062185</v>
      </c>
      <c r="Y9" s="147">
        <v>0.55787037037037035</v>
      </c>
      <c r="Z9" s="147">
        <v>0.56359393232205368</v>
      </c>
      <c r="AA9" s="147">
        <v>0.56678486997635935</v>
      </c>
      <c r="AB9" s="147">
        <v>0.57005988023952092</v>
      </c>
      <c r="AC9" s="147">
        <v>0.57475490196078438</v>
      </c>
      <c r="AD9" s="147">
        <v>0.57967377666248443</v>
      </c>
      <c r="AE9" s="147">
        <v>0.59219380888290707</v>
      </c>
      <c r="AF9" s="148">
        <v>1.0666666666666662</v>
      </c>
      <c r="AG9" s="148">
        <v>1.0857142857142863</v>
      </c>
      <c r="AH9" s="148">
        <v>1.0761904761904764</v>
      </c>
      <c r="AI9" s="148">
        <v>1.0666666666666669</v>
      </c>
      <c r="AJ9" s="148">
        <v>1.038095238095238</v>
      </c>
      <c r="AK9" s="148">
        <v>1.0095238095238088</v>
      </c>
      <c r="AL9" s="148">
        <v>0.93333333333333313</v>
      </c>
      <c r="AM9" s="138">
        <f>Y9*C9+($A$4-80)*AF9*$A$8/1000</f>
        <v>15.171761658031087</v>
      </c>
      <c r="AN9" s="138">
        <f>Z9*E9+($A$4-80)*AG9*$A$8/1000</f>
        <v>15.203238341968909</v>
      </c>
      <c r="AO9" s="138">
        <f>AA9*G9+($A$4-80)*AH9*$A$8/1000</f>
        <v>15.093069948186528</v>
      </c>
      <c r="AP9" s="138">
        <f>AB9*I9+($A$4-80)*AI9*$A$8/1000</f>
        <v>14.982901554404146</v>
      </c>
      <c r="AQ9" s="138">
        <f>AC9*K9+($A$4-80)*AJ9*$A$8/1000</f>
        <v>14.762564766839379</v>
      </c>
      <c r="AR9" s="138">
        <f>AD9*M9+($A$4-80)*AK9*$A$8/1000</f>
        <v>14.542227979274612</v>
      </c>
      <c r="AS9" s="138">
        <f>AE9*O9+($A$4-80)*AL9*$A$8/1000</f>
        <v>13.849740932642487</v>
      </c>
    </row>
    <row r="10" spans="1:45" x14ac:dyDescent="0.2">
      <c r="A10" s="169"/>
      <c r="B10" s="55">
        <v>67</v>
      </c>
      <c r="C10" s="56">
        <f t="shared" si="7"/>
        <v>26.566321243523319</v>
      </c>
      <c r="D10" s="58">
        <f t="shared" si="0"/>
        <v>17.123316062176169</v>
      </c>
      <c r="E10" s="56">
        <f t="shared" si="8"/>
        <v>25.999740932642482</v>
      </c>
      <c r="F10" s="58">
        <f t="shared" si="1"/>
        <v>16.934455958549218</v>
      </c>
      <c r="G10" s="56">
        <f t="shared" si="9"/>
        <v>25.559067357512948</v>
      </c>
      <c r="H10" s="56">
        <f t="shared" si="2"/>
        <v>16.7770725388601</v>
      </c>
      <c r="I10" s="56">
        <f t="shared" si="10"/>
        <v>25.118393782383418</v>
      </c>
      <c r="J10" s="56">
        <f t="shared" si="3"/>
        <v>16.619689119170982</v>
      </c>
      <c r="K10" s="56">
        <f t="shared" si="11"/>
        <v>24.457383419689116</v>
      </c>
      <c r="L10" s="58">
        <f t="shared" si="4"/>
        <v>16.367875647668395</v>
      </c>
      <c r="M10" s="56">
        <f t="shared" si="12"/>
        <v>23.796373056994817</v>
      </c>
      <c r="N10" s="58">
        <f t="shared" si="5"/>
        <v>16.116062176165805</v>
      </c>
      <c r="O10" s="56">
        <f t="shared" si="13"/>
        <v>22.159585492227979</v>
      </c>
      <c r="P10" s="59">
        <f t="shared" si="6"/>
        <v>15.423575129533676</v>
      </c>
      <c r="R10" s="146">
        <v>1.0932642487046633</v>
      </c>
      <c r="S10" s="146">
        <v>1.0699481865284972</v>
      </c>
      <c r="T10" s="146">
        <v>1.0518134715025904</v>
      </c>
      <c r="U10" s="146">
        <v>1.0336787564766838</v>
      </c>
      <c r="V10" s="146">
        <v>1.0064766839378236</v>
      </c>
      <c r="W10" s="146">
        <v>0.97927461139896366</v>
      </c>
      <c r="X10" s="146">
        <v>0.91191709844559588</v>
      </c>
      <c r="Y10" s="147">
        <v>0.64454976303317535</v>
      </c>
      <c r="Z10" s="147">
        <v>0.65133171912832932</v>
      </c>
      <c r="AA10" s="147">
        <v>0.65640394088669951</v>
      </c>
      <c r="AB10" s="147">
        <v>0.66165413533834583</v>
      </c>
      <c r="AC10" s="147">
        <v>0.66924066924066938</v>
      </c>
      <c r="AD10" s="147">
        <v>0.67724867724867732</v>
      </c>
      <c r="AE10" s="147">
        <v>0.69602272727272718</v>
      </c>
      <c r="AF10" s="148">
        <v>1.0666666666666662</v>
      </c>
      <c r="AG10" s="148">
        <v>1.0857142857142863</v>
      </c>
      <c r="AH10" s="148">
        <v>1.0761904761904764</v>
      </c>
      <c r="AI10" s="148">
        <v>1.0666666666666669</v>
      </c>
      <c r="AJ10" s="148">
        <v>1.038095238095238</v>
      </c>
      <c r="AK10" s="148">
        <v>1.0095238095238088</v>
      </c>
      <c r="AL10" s="148">
        <v>0.93333333333333313</v>
      </c>
      <c r="AM10" s="138">
        <f>Y10*C10+($A$4-80)*AF10*$A$8/1000</f>
        <v>17.123316062176169</v>
      </c>
      <c r="AN10" s="138">
        <f>Z10*E10+($A$4-80)*AG10*$A$8/1000</f>
        <v>16.934455958549218</v>
      </c>
      <c r="AO10" s="138">
        <f>AA10*G10+($A$4-80)*AH10*$A$8/1000</f>
        <v>16.7770725388601</v>
      </c>
      <c r="AP10" s="138">
        <f>AB10*I10+($A$4-80)*AI10*$A$8/1000</f>
        <v>16.619689119170982</v>
      </c>
      <c r="AQ10" s="138">
        <f>AC10*K10+($A$4-80)*AJ10*$A$8/1000</f>
        <v>16.367875647668395</v>
      </c>
      <c r="AR10" s="138">
        <f>AD10*M10+($A$4-80)*AK10*$A$8/1000</f>
        <v>16.116062176165805</v>
      </c>
      <c r="AS10" s="138">
        <f>AE10*O10+($A$4-80)*AL10*$A$8/1000</f>
        <v>15.423575129533676</v>
      </c>
    </row>
    <row r="11" spans="1:45" ht="13.5" thickBot="1" x14ac:dyDescent="0.25">
      <c r="A11" s="170"/>
      <c r="B11" s="60">
        <v>62</v>
      </c>
      <c r="C11" s="61">
        <f t="shared" si="7"/>
        <v>24.614766839378241</v>
      </c>
      <c r="D11" s="61">
        <f t="shared" si="0"/>
        <v>20.648704663212435</v>
      </c>
      <c r="E11" s="61">
        <f t="shared" si="8"/>
        <v>23.670466321243524</v>
      </c>
      <c r="F11" s="61">
        <f t="shared" si="1"/>
        <v>20.208031088082901</v>
      </c>
      <c r="G11" s="61">
        <f t="shared" si="9"/>
        <v>23.103886010362697</v>
      </c>
      <c r="H11" s="61">
        <f t="shared" si="2"/>
        <v>19.893264248704664</v>
      </c>
      <c r="I11" s="61">
        <f t="shared" si="10"/>
        <v>22.537305699481863</v>
      </c>
      <c r="J11" s="61">
        <f t="shared" si="3"/>
        <v>19.578497409326424</v>
      </c>
      <c r="K11" s="61">
        <f t="shared" si="11"/>
        <v>21.907772020725385</v>
      </c>
      <c r="L11" s="61">
        <f t="shared" si="4"/>
        <v>19.200777202072537</v>
      </c>
      <c r="M11" s="61">
        <f t="shared" si="12"/>
        <v>21.278238341968908</v>
      </c>
      <c r="N11" s="61">
        <f t="shared" si="5"/>
        <v>18.82305699481865</v>
      </c>
      <c r="O11" s="61">
        <f t="shared" si="13"/>
        <v>19.893264248704664</v>
      </c>
      <c r="P11" s="62">
        <f t="shared" si="6"/>
        <v>17.941709844559586</v>
      </c>
      <c r="R11" s="146">
        <v>1.0129533678756477</v>
      </c>
      <c r="S11" s="146">
        <v>0.97409326424870468</v>
      </c>
      <c r="T11" s="146">
        <v>0.95077720207253891</v>
      </c>
      <c r="U11" s="146">
        <v>0.92746113989637291</v>
      </c>
      <c r="V11" s="146">
        <v>0.90155440414507759</v>
      </c>
      <c r="W11" s="146">
        <v>0.87564766839378227</v>
      </c>
      <c r="X11" s="146">
        <v>0.81865284974093266</v>
      </c>
      <c r="Y11" s="147">
        <v>0.83887468030690526</v>
      </c>
      <c r="Z11" s="147">
        <v>0.85372340425531912</v>
      </c>
      <c r="AA11" s="147">
        <v>0.8610354223433242</v>
      </c>
      <c r="AB11" s="147">
        <v>0.86871508379888274</v>
      </c>
      <c r="AC11" s="147">
        <v>0.87643678160919547</v>
      </c>
      <c r="AD11" s="147">
        <v>0.88461538461538469</v>
      </c>
      <c r="AE11" s="147">
        <v>0.90189873417721511</v>
      </c>
      <c r="AF11" s="148">
        <v>1.0666666666666662</v>
      </c>
      <c r="AG11" s="148">
        <v>1.0857142857142863</v>
      </c>
      <c r="AH11" s="148">
        <v>1.0761904761904764</v>
      </c>
      <c r="AI11" s="148">
        <v>1.0666666666666669</v>
      </c>
      <c r="AJ11" s="148">
        <v>1.038095238095238</v>
      </c>
      <c r="AK11" s="148">
        <v>1.0095238095238088</v>
      </c>
      <c r="AL11" s="148">
        <v>0.93333333333333313</v>
      </c>
      <c r="AM11" s="138">
        <f>Y11*C11+($A$4-80)*AF11*$A$8/1000</f>
        <v>20.648704663212435</v>
      </c>
      <c r="AN11" s="138">
        <f>Z11*E11+($A$4-80)*AG11*$A$8/1000</f>
        <v>20.208031088082901</v>
      </c>
      <c r="AO11" s="138">
        <f>AA11*G11+($A$4-80)*AH11*$A$8/1000</f>
        <v>19.893264248704664</v>
      </c>
      <c r="AP11" s="138">
        <f>AB11*I11+($A$4-80)*AI11*$A$8/1000</f>
        <v>19.578497409326424</v>
      </c>
      <c r="AQ11" s="138">
        <f>AC11*K11+($A$4-80)*AJ11*$A$8/1000</f>
        <v>19.200777202072537</v>
      </c>
      <c r="AR11" s="138">
        <f>AD11*M11+($A$4-80)*AK11*$A$8/1000</f>
        <v>18.82305699481865</v>
      </c>
      <c r="AS11" s="138">
        <f>AE11*O11+($A$4-80)*AL11*$A$8/1000</f>
        <v>17.941709844559586</v>
      </c>
    </row>
    <row r="12" spans="1:45" x14ac:dyDescent="0.2">
      <c r="A12" s="168">
        <v>1200</v>
      </c>
      <c r="B12" s="52">
        <v>72</v>
      </c>
      <c r="C12" s="53">
        <f t="shared" si="7"/>
        <v>27.762435233160623</v>
      </c>
      <c r="D12" s="53">
        <f t="shared" si="0"/>
        <v>13.472020725388601</v>
      </c>
      <c r="E12" s="53">
        <f t="shared" si="8"/>
        <v>27.888341968911913</v>
      </c>
      <c r="F12" s="53">
        <f t="shared" si="1"/>
        <v>13.660880829015543</v>
      </c>
      <c r="G12" s="53">
        <f t="shared" si="9"/>
        <v>27.668005181347151</v>
      </c>
      <c r="H12" s="53">
        <f t="shared" si="2"/>
        <v>13.660880829015543</v>
      </c>
      <c r="I12" s="53">
        <f t="shared" si="10"/>
        <v>27.447668393782383</v>
      </c>
      <c r="J12" s="53">
        <f t="shared" si="3"/>
        <v>13.660880829015543</v>
      </c>
      <c r="K12" s="53">
        <f t="shared" si="11"/>
        <v>26.975518134715024</v>
      </c>
      <c r="L12" s="53">
        <f t="shared" si="4"/>
        <v>13.534974093264246</v>
      </c>
      <c r="M12" s="53">
        <f t="shared" si="12"/>
        <v>26.503367875647672</v>
      </c>
      <c r="N12" s="53">
        <f t="shared" si="5"/>
        <v>13.409067357512956</v>
      </c>
      <c r="O12" s="53">
        <f t="shared" si="13"/>
        <v>24.929533678756481</v>
      </c>
      <c r="P12" s="54">
        <f t="shared" si="6"/>
        <v>12.905440414507773</v>
      </c>
      <c r="R12" s="146">
        <v>1.1424870466321244</v>
      </c>
      <c r="S12" s="146">
        <v>1.1476683937823833</v>
      </c>
      <c r="T12" s="146">
        <v>1.1386010362694301</v>
      </c>
      <c r="U12" s="146">
        <v>1.1295336787564767</v>
      </c>
      <c r="V12" s="146">
        <v>1.1101036269430051</v>
      </c>
      <c r="W12" s="146">
        <v>1.0906735751295338</v>
      </c>
      <c r="X12" s="146">
        <v>1.0259067357512954</v>
      </c>
      <c r="Y12" s="147">
        <v>0.48526077097505665</v>
      </c>
      <c r="Z12" s="147">
        <v>0.48984198645598198</v>
      </c>
      <c r="AA12" s="147">
        <v>0.49374288964732643</v>
      </c>
      <c r="AB12" s="147">
        <v>0.49770642201834858</v>
      </c>
      <c r="AC12" s="147">
        <v>0.50175029171528585</v>
      </c>
      <c r="AD12" s="147">
        <v>0.50593824228028506</v>
      </c>
      <c r="AE12" s="147">
        <v>0.51767676767676762</v>
      </c>
      <c r="AF12" s="148">
        <v>0.96666666666666734</v>
      </c>
      <c r="AG12" s="148">
        <v>0.99999999999999933</v>
      </c>
      <c r="AH12" s="148">
        <v>1</v>
      </c>
      <c r="AI12" s="148">
        <v>1</v>
      </c>
      <c r="AJ12" s="148">
        <v>0.98333333333333373</v>
      </c>
      <c r="AK12" s="148">
        <v>0.96666666666666623</v>
      </c>
      <c r="AL12" s="148">
        <v>0.91666666666666674</v>
      </c>
      <c r="AM12" s="138">
        <f>Y12*C12+($A$4-80)*AF12*$A$12/1000</f>
        <v>13.472020725388601</v>
      </c>
      <c r="AN12" s="138">
        <f>Z12*E12+($A$4-80)*AG12*$A$12/1000</f>
        <v>13.660880829015543</v>
      </c>
      <c r="AO12" s="138">
        <f>AA12*G12+($A$4-80)*AH12*$A$12/1000</f>
        <v>13.660880829015543</v>
      </c>
      <c r="AP12" s="138">
        <f>AB12*I12+($A$4-80)*AI12*$A$12/1000</f>
        <v>13.660880829015543</v>
      </c>
      <c r="AQ12" s="138">
        <f>AC12*K12+($A$4-80)*AJ12*$A$12/1000</f>
        <v>13.534974093264246</v>
      </c>
      <c r="AR12" s="138">
        <f>AD12*M12+($A$4-80)*AK12*$A$12/1000</f>
        <v>13.409067357512956</v>
      </c>
      <c r="AS12" s="138">
        <f>AE12*O12+($A$4-80)*AL12*$A$12/1000</f>
        <v>12.905440414507773</v>
      </c>
    </row>
    <row r="13" spans="1:45" x14ac:dyDescent="0.2">
      <c r="A13" s="169"/>
      <c r="B13" s="55">
        <v>69.5</v>
      </c>
      <c r="C13" s="56">
        <f t="shared" si="7"/>
        <v>27.258808290155439</v>
      </c>
      <c r="D13" s="56">
        <f t="shared" si="0"/>
        <v>15.580958549222798</v>
      </c>
      <c r="E13" s="56">
        <f t="shared" si="8"/>
        <v>27.132901554404139</v>
      </c>
      <c r="F13" s="56">
        <f t="shared" si="1"/>
        <v>15.738341968911916</v>
      </c>
      <c r="G13" s="56">
        <f t="shared" si="9"/>
        <v>26.818134715025906</v>
      </c>
      <c r="H13" s="56">
        <f t="shared" si="2"/>
        <v>15.691126943005177</v>
      </c>
      <c r="I13" s="56">
        <f t="shared" si="10"/>
        <v>26.503367875647672</v>
      </c>
      <c r="J13" s="56">
        <f t="shared" si="3"/>
        <v>15.643911917098448</v>
      </c>
      <c r="K13" s="56">
        <f t="shared" si="11"/>
        <v>25.952525906735751</v>
      </c>
      <c r="L13" s="56">
        <f t="shared" si="4"/>
        <v>15.470790155440413</v>
      </c>
      <c r="M13" s="56">
        <f t="shared" si="12"/>
        <v>25.401683937823833</v>
      </c>
      <c r="N13" s="56">
        <f t="shared" si="5"/>
        <v>15.297668393782384</v>
      </c>
      <c r="O13" s="56">
        <f t="shared" si="13"/>
        <v>23.733419689119174</v>
      </c>
      <c r="P13" s="57">
        <f t="shared" si="6"/>
        <v>14.668134715025907</v>
      </c>
      <c r="R13" s="146">
        <v>1.1217616580310881</v>
      </c>
      <c r="S13" s="146">
        <v>1.1165803108808288</v>
      </c>
      <c r="T13" s="146">
        <v>1.1036269430051813</v>
      </c>
      <c r="U13" s="146">
        <v>1.0906735751295338</v>
      </c>
      <c r="V13" s="146">
        <v>1.0680051813471503</v>
      </c>
      <c r="W13" s="146">
        <v>1.0453367875647668</v>
      </c>
      <c r="X13" s="146">
        <v>0.97668393782383423</v>
      </c>
      <c r="Y13" s="147">
        <v>0.57159353348729791</v>
      </c>
      <c r="Z13" s="147">
        <v>0.5800464037122971</v>
      </c>
      <c r="AA13" s="147">
        <v>0.58509389671361489</v>
      </c>
      <c r="AB13" s="147">
        <v>0.59026128266033251</v>
      </c>
      <c r="AC13" s="147">
        <v>0.59611885991510005</v>
      </c>
      <c r="AD13" s="147">
        <v>0.60223048327137552</v>
      </c>
      <c r="AE13" s="147">
        <v>0.61803713527851456</v>
      </c>
      <c r="AF13" s="148">
        <v>0.96666666666666734</v>
      </c>
      <c r="AG13" s="148">
        <v>0.99999999999999933</v>
      </c>
      <c r="AH13" s="148">
        <v>1</v>
      </c>
      <c r="AI13" s="148">
        <v>1</v>
      </c>
      <c r="AJ13" s="148">
        <v>0.98333333333333373</v>
      </c>
      <c r="AK13" s="148">
        <v>0.96666666666666623</v>
      </c>
      <c r="AL13" s="148">
        <v>0.91666666666666674</v>
      </c>
      <c r="AM13" s="138">
        <f>Y13*C13+($A$4-80)*AF13*$A$12/1000</f>
        <v>15.580958549222798</v>
      </c>
      <c r="AN13" s="138">
        <f>Z13*E13+($A$4-80)*AG13*$A$12/1000</f>
        <v>15.738341968911916</v>
      </c>
      <c r="AO13" s="138">
        <f>AA13*G13+($A$4-80)*AH13*$A$12/1000</f>
        <v>15.691126943005177</v>
      </c>
      <c r="AP13" s="138">
        <f>AB13*I13+($A$4-80)*AI13*$A$12/1000</f>
        <v>15.643911917098448</v>
      </c>
      <c r="AQ13" s="138">
        <f>AC13*K13+($A$4-80)*AJ13*$A$12/1000</f>
        <v>15.470790155440413</v>
      </c>
      <c r="AR13" s="138">
        <f>AD13*M13+($A$4-80)*AK13*$A$12/1000</f>
        <v>15.297668393782384</v>
      </c>
      <c r="AS13" s="138">
        <f>AE13*O13+($A$4-80)*AL13*$A$12/1000</f>
        <v>14.668134715025907</v>
      </c>
    </row>
    <row r="14" spans="1:45" x14ac:dyDescent="0.2">
      <c r="A14" s="169"/>
      <c r="B14" s="55">
        <v>67</v>
      </c>
      <c r="C14" s="56">
        <f t="shared" si="7"/>
        <v>26.755181347150259</v>
      </c>
      <c r="D14" s="58">
        <f t="shared" si="0"/>
        <v>17.689896373056996</v>
      </c>
      <c r="E14" s="56">
        <f t="shared" si="8"/>
        <v>26.377461139896372</v>
      </c>
      <c r="F14" s="58">
        <f t="shared" si="1"/>
        <v>17.815803108808289</v>
      </c>
      <c r="G14" s="56">
        <f t="shared" si="9"/>
        <v>25.968264248704664</v>
      </c>
      <c r="H14" s="56">
        <f t="shared" si="2"/>
        <v>17.721373056994818</v>
      </c>
      <c r="I14" s="139">
        <f t="shared" si="10"/>
        <v>25.559067357512951</v>
      </c>
      <c r="J14" s="56">
        <f t="shared" si="3"/>
        <v>17.626943005181346</v>
      </c>
      <c r="K14" s="56">
        <f t="shared" si="11"/>
        <v>24.929533678756481</v>
      </c>
      <c r="L14" s="58">
        <f t="shared" si="4"/>
        <v>17.406606217616584</v>
      </c>
      <c r="M14" s="56">
        <v>24.3</v>
      </c>
      <c r="N14" s="58">
        <f t="shared" si="5"/>
        <v>17.186269430051812</v>
      </c>
      <c r="O14" s="56">
        <f t="shared" si="13"/>
        <v>22.537305699481863</v>
      </c>
      <c r="P14" s="59">
        <f t="shared" si="6"/>
        <v>16.430829015544042</v>
      </c>
      <c r="R14" s="146">
        <v>1.1010362694300517</v>
      </c>
      <c r="S14" s="146">
        <v>1.0854922279792745</v>
      </c>
      <c r="T14" s="146">
        <v>1.0686528497409327</v>
      </c>
      <c r="U14" s="146">
        <v>1.0518134715025906</v>
      </c>
      <c r="V14" s="146">
        <v>1.0259067357512954</v>
      </c>
      <c r="W14" s="146">
        <v>1</v>
      </c>
      <c r="X14" s="146">
        <v>0.92746113989637291</v>
      </c>
      <c r="Y14" s="147">
        <v>0.66117647058823537</v>
      </c>
      <c r="Z14" s="147">
        <v>0.67541766109785206</v>
      </c>
      <c r="AA14" s="147">
        <v>0.68242424242424238</v>
      </c>
      <c r="AB14" s="147">
        <v>0.68965517241379304</v>
      </c>
      <c r="AC14" s="147">
        <v>0.6982323232323232</v>
      </c>
      <c r="AD14" s="147">
        <v>0.70725388601036265</v>
      </c>
      <c r="AE14" s="147">
        <v>0.72905027932960909</v>
      </c>
      <c r="AF14" s="148">
        <v>0.96666666666666734</v>
      </c>
      <c r="AG14" s="148">
        <v>0.99999999999999933</v>
      </c>
      <c r="AH14" s="148">
        <v>1</v>
      </c>
      <c r="AI14" s="148">
        <v>1</v>
      </c>
      <c r="AJ14" s="148">
        <v>0.98333333333333373</v>
      </c>
      <c r="AK14" s="148">
        <v>0.96666666666666623</v>
      </c>
      <c r="AL14" s="148">
        <v>0.91666666666666674</v>
      </c>
      <c r="AM14" s="138">
        <f>Y14*C14+($A$4-80)*AF14*$A$12/1000</f>
        <v>17.689896373056996</v>
      </c>
      <c r="AN14" s="138">
        <f>Z14*E14+($A$4-80)*AG14*$A$12/1000</f>
        <v>17.815803108808289</v>
      </c>
      <c r="AO14" s="138">
        <f>AA14*G14+($A$4-80)*AH14*$A$12/1000</f>
        <v>17.721373056994818</v>
      </c>
      <c r="AP14" s="138">
        <f>AB14*I14+($A$4-80)*AI14*$A$12/1000</f>
        <v>17.626943005181346</v>
      </c>
      <c r="AQ14" s="138">
        <f>AC14*K14+($A$4-80)*AJ14*$A$12/1000</f>
        <v>17.406606217616584</v>
      </c>
      <c r="AR14" s="138">
        <f>AD14*M14+($A$4-80)*AK14*$A$12/1000</f>
        <v>17.186269430051812</v>
      </c>
      <c r="AS14" s="138">
        <f>AE14*O14+($A$4-80)*AL14*$A$12/1000</f>
        <v>16.430829015544042</v>
      </c>
    </row>
    <row r="15" spans="1:45" ht="13.5" thickBot="1" x14ac:dyDescent="0.25">
      <c r="A15" s="170"/>
      <c r="B15" s="60">
        <v>62</v>
      </c>
      <c r="C15" s="61">
        <f t="shared" si="7"/>
        <v>24.992487046632128</v>
      </c>
      <c r="D15" s="61">
        <f t="shared" si="0"/>
        <v>21.530051813471506</v>
      </c>
      <c r="E15" s="61">
        <f t="shared" si="8"/>
        <v>24.048186528497411</v>
      </c>
      <c r="F15" s="61">
        <f t="shared" si="1"/>
        <v>21.278238341968912</v>
      </c>
      <c r="G15" s="61">
        <f t="shared" si="9"/>
        <v>23.513082901554405</v>
      </c>
      <c r="H15" s="61">
        <f t="shared" si="2"/>
        <v>21.026424870466322</v>
      </c>
      <c r="I15" s="61">
        <f t="shared" si="10"/>
        <v>22.977979274611396</v>
      </c>
      <c r="J15" s="61">
        <f t="shared" si="3"/>
        <v>20.774611398963728</v>
      </c>
      <c r="K15" s="61">
        <f t="shared" si="11"/>
        <v>22.379922279792744</v>
      </c>
      <c r="L15" s="61">
        <f t="shared" si="4"/>
        <v>20.42836787564767</v>
      </c>
      <c r="M15" s="61">
        <f t="shared" ref="M15:M19" si="14">W15*$M$14</f>
        <v>21.781865284974092</v>
      </c>
      <c r="N15" s="61">
        <f t="shared" si="5"/>
        <v>20.082124352331604</v>
      </c>
      <c r="O15" s="61">
        <f t="shared" si="13"/>
        <v>20.396891191709845</v>
      </c>
      <c r="P15" s="62">
        <f t="shared" si="6"/>
        <v>19.20077720207254</v>
      </c>
      <c r="R15" s="146">
        <v>1.028497409326425</v>
      </c>
      <c r="S15" s="146">
        <v>0.98963730569948194</v>
      </c>
      <c r="T15" s="146">
        <v>0.96761658031088082</v>
      </c>
      <c r="U15" s="146">
        <v>0.94559585492227971</v>
      </c>
      <c r="V15" s="146">
        <v>0.92098445595854916</v>
      </c>
      <c r="W15" s="146">
        <v>0.89637305699481862</v>
      </c>
      <c r="X15" s="146">
        <v>0.8393782383419689</v>
      </c>
      <c r="Y15" s="147">
        <v>0.8614609571788413</v>
      </c>
      <c r="Z15" s="147">
        <v>0.88481675392670145</v>
      </c>
      <c r="AA15" s="147">
        <v>0.89424364123159295</v>
      </c>
      <c r="AB15" s="147">
        <v>0.90410958904109584</v>
      </c>
      <c r="AC15" s="147">
        <v>0.91279887482419142</v>
      </c>
      <c r="AD15" s="147">
        <v>0.9219653179190751</v>
      </c>
      <c r="AE15" s="147">
        <v>0.9413580246913581</v>
      </c>
      <c r="AF15" s="148">
        <v>0.96666666666666734</v>
      </c>
      <c r="AG15" s="148">
        <v>0.99999999999999933</v>
      </c>
      <c r="AH15" s="148">
        <v>1</v>
      </c>
      <c r="AI15" s="148">
        <v>1</v>
      </c>
      <c r="AJ15" s="148">
        <v>0.98333333333333373</v>
      </c>
      <c r="AK15" s="148">
        <v>0.96666666666666623</v>
      </c>
      <c r="AL15" s="148">
        <v>0.91666666666666674</v>
      </c>
      <c r="AM15" s="138">
        <f>Y15*C15+($A$4-80)*AF15*$A$12/1000</f>
        <v>21.530051813471506</v>
      </c>
      <c r="AN15" s="138">
        <f>Z15*E15+($A$4-80)*AG15*$A$12/1000</f>
        <v>21.278238341968912</v>
      </c>
      <c r="AO15" s="138">
        <f>AA15*G15+($A$4-80)*AH15*$A$12/1000</f>
        <v>21.026424870466322</v>
      </c>
      <c r="AP15" s="138">
        <f>AB15*I15+($A$4-80)*AI15*$A$12/1000</f>
        <v>20.774611398963728</v>
      </c>
      <c r="AQ15" s="138">
        <f>AC15*K15+($A$4-80)*AJ15*$A$12/1000</f>
        <v>20.42836787564767</v>
      </c>
      <c r="AR15" s="138">
        <f>AD15*M15+($A$4-80)*AK15*$A$12/1000</f>
        <v>20.082124352331604</v>
      </c>
      <c r="AS15" s="138">
        <f>AE15*O15+($A$4-80)*AL15*$A$12/1000</f>
        <v>19.20077720207254</v>
      </c>
    </row>
    <row r="16" spans="1:45" x14ac:dyDescent="0.2">
      <c r="A16" s="168">
        <v>1350</v>
      </c>
      <c r="B16" s="52">
        <v>72</v>
      </c>
      <c r="C16" s="53">
        <f t="shared" si="7"/>
        <v>28.01424870466321</v>
      </c>
      <c r="D16" s="53">
        <f t="shared" si="0"/>
        <v>13.912694300518135</v>
      </c>
      <c r="E16" s="53">
        <f t="shared" si="8"/>
        <v>28.391968911917097</v>
      </c>
      <c r="F16" s="53">
        <f t="shared" si="1"/>
        <v>14.353367875647667</v>
      </c>
      <c r="G16" s="53">
        <f t="shared" si="9"/>
        <v>28.234585492227978</v>
      </c>
      <c r="H16" s="53">
        <f t="shared" si="2"/>
        <v>14.416321243523313</v>
      </c>
      <c r="I16" s="53">
        <f t="shared" si="10"/>
        <v>28.077202072538856</v>
      </c>
      <c r="J16" s="53">
        <f t="shared" si="3"/>
        <v>14.47927461139896</v>
      </c>
      <c r="K16" s="53">
        <f t="shared" si="11"/>
        <v>27.573575129533676</v>
      </c>
      <c r="L16" s="53">
        <f t="shared" si="4"/>
        <v>14.353367875647669</v>
      </c>
      <c r="M16" s="53">
        <f t="shared" si="14"/>
        <v>27.069948186528496</v>
      </c>
      <c r="N16" s="53">
        <f t="shared" si="5"/>
        <v>14.227461139896372</v>
      </c>
      <c r="O16" s="53">
        <f t="shared" si="13"/>
        <v>25.370207253886008</v>
      </c>
      <c r="P16" s="54">
        <f t="shared" si="6"/>
        <v>13.597927461139896</v>
      </c>
      <c r="R16" s="146">
        <v>1.1528497409326424</v>
      </c>
      <c r="S16" s="146">
        <v>1.1683937823834196</v>
      </c>
      <c r="T16" s="146">
        <v>1.1619170984455958</v>
      </c>
      <c r="U16" s="146">
        <v>1.1554404145077719</v>
      </c>
      <c r="V16" s="146">
        <v>1.1347150259067356</v>
      </c>
      <c r="W16" s="146">
        <v>1.1139896373056994</v>
      </c>
      <c r="X16" s="146">
        <v>1.044041450777202</v>
      </c>
      <c r="Y16" s="147">
        <v>0.49662921348314609</v>
      </c>
      <c r="Z16" s="147">
        <v>0.50554323725055428</v>
      </c>
      <c r="AA16" s="147">
        <v>0.51059085841694529</v>
      </c>
      <c r="AB16" s="147">
        <v>0.51569506726457393</v>
      </c>
      <c r="AC16" s="147">
        <v>0.52054794520547953</v>
      </c>
      <c r="AD16" s="147">
        <v>0.52558139534883719</v>
      </c>
      <c r="AE16" s="147">
        <v>0.53598014888337475</v>
      </c>
      <c r="AF16" s="148">
        <v>0.88888888888888884</v>
      </c>
      <c r="AG16" s="148">
        <v>0.9185185185185184</v>
      </c>
      <c r="AH16" s="148">
        <v>0.9333333333333329</v>
      </c>
      <c r="AI16" s="148">
        <v>0.94814814814814807</v>
      </c>
      <c r="AJ16" s="148">
        <v>0.94814814814814807</v>
      </c>
      <c r="AK16" s="148">
        <v>0.94814814814814807</v>
      </c>
      <c r="AL16" s="148">
        <v>0.9037037037037039</v>
      </c>
      <c r="AM16" s="138">
        <f>Y16*C16+($A$4-80)*AF16*$A$16/1000</f>
        <v>13.912694300518135</v>
      </c>
      <c r="AN16" s="138">
        <f>Z16*E16+($A$4-80)*AG16*$A$16/1000</f>
        <v>14.353367875647667</v>
      </c>
      <c r="AO16" s="138">
        <f>AA16*G16+($A$4-80)*AH16*$A$16/1000</f>
        <v>14.416321243523313</v>
      </c>
      <c r="AP16" s="138">
        <f>AB16*I16+($A$4-80)*AI16*$A$16/1000</f>
        <v>14.47927461139896</v>
      </c>
      <c r="AQ16" s="138">
        <f>AC16*K16+($A$4-80)*AJ16*$A$16/1000</f>
        <v>14.353367875647669</v>
      </c>
      <c r="AR16" s="138">
        <f>AD16*M16+($A$4-80)*AK16*$A$16/1000</f>
        <v>14.227461139896372</v>
      </c>
      <c r="AS16" s="138">
        <f>AE16*O16+($A$4-80)*AL16*$A$16/1000</f>
        <v>13.597927461139896</v>
      </c>
    </row>
    <row r="17" spans="1:45" x14ac:dyDescent="0.2">
      <c r="A17" s="169"/>
      <c r="B17" s="55">
        <v>69.5</v>
      </c>
      <c r="C17" s="56">
        <f t="shared" si="7"/>
        <v>27.510621761658033</v>
      </c>
      <c r="D17" s="56">
        <f t="shared" si="0"/>
        <v>16.08458549222798</v>
      </c>
      <c r="E17" s="56">
        <f t="shared" si="8"/>
        <v>27.573575129533676</v>
      </c>
      <c r="F17" s="56">
        <f t="shared" si="1"/>
        <v>16.525259067357513</v>
      </c>
      <c r="G17" s="56">
        <f t="shared" si="9"/>
        <v>27.306023316062177</v>
      </c>
      <c r="H17" s="56">
        <f t="shared" si="2"/>
        <v>16.556735751295335</v>
      </c>
      <c r="I17" s="56">
        <f t="shared" si="10"/>
        <v>27.038471502590674</v>
      </c>
      <c r="J17" s="56">
        <f t="shared" si="3"/>
        <v>16.588212435233164</v>
      </c>
      <c r="K17" s="56">
        <f t="shared" si="11"/>
        <v>26.471891191709844</v>
      </c>
      <c r="L17" s="56">
        <f t="shared" si="4"/>
        <v>16.430829015544045</v>
      </c>
      <c r="M17" s="56">
        <f t="shared" si="14"/>
        <v>25.905310880829017</v>
      </c>
      <c r="N17" s="56">
        <f t="shared" si="5"/>
        <v>16.273445595854927</v>
      </c>
      <c r="O17" s="56">
        <f t="shared" si="13"/>
        <v>24.174093264248704</v>
      </c>
      <c r="P17" s="57">
        <f t="shared" si="6"/>
        <v>15.549481865284976</v>
      </c>
      <c r="R17" s="146">
        <v>1.1321243523316062</v>
      </c>
      <c r="S17" s="146">
        <v>1.1347150259067356</v>
      </c>
      <c r="T17" s="146">
        <v>1.1237046632124352</v>
      </c>
      <c r="U17" s="146">
        <v>1.1126943005181347</v>
      </c>
      <c r="V17" s="146">
        <v>1.0893782383419688</v>
      </c>
      <c r="W17" s="146">
        <v>1.0660621761658031</v>
      </c>
      <c r="X17" s="146">
        <v>0.99481865284974091</v>
      </c>
      <c r="Y17" s="147">
        <v>0.58466819221967958</v>
      </c>
      <c r="Z17" s="147">
        <v>0.59931506849315075</v>
      </c>
      <c r="AA17" s="147">
        <v>0.60634005763688759</v>
      </c>
      <c r="AB17" s="147">
        <v>0.61350407450523869</v>
      </c>
      <c r="AC17" s="147">
        <v>0.62068965517241392</v>
      </c>
      <c r="AD17" s="147">
        <v>0.62818955042527347</v>
      </c>
      <c r="AE17" s="147">
        <v>0.64322916666666674</v>
      </c>
      <c r="AF17" s="148">
        <v>0.88888888888888884</v>
      </c>
      <c r="AG17" s="148">
        <v>0.9185185185185184</v>
      </c>
      <c r="AH17" s="148">
        <v>0.9333333333333329</v>
      </c>
      <c r="AI17" s="148">
        <v>0.94814814814814807</v>
      </c>
      <c r="AJ17" s="148">
        <v>0.94814814814814807</v>
      </c>
      <c r="AK17" s="148">
        <v>0.94814814814814807</v>
      </c>
      <c r="AL17" s="148">
        <v>0.9037037037037039</v>
      </c>
      <c r="AM17" s="138">
        <f>Y17*C17+($A$4-80)*AF17*$A$16/1000</f>
        <v>16.08458549222798</v>
      </c>
      <c r="AN17" s="138">
        <f>Z17*E17+($A$4-80)*AG17*$A$16/1000</f>
        <v>16.525259067357513</v>
      </c>
      <c r="AO17" s="138">
        <f>AA17*G17+($A$4-80)*AH17*$A$16/1000</f>
        <v>16.556735751295335</v>
      </c>
      <c r="AP17" s="138">
        <f>AB17*I17+($A$4-80)*AI17*$A$16/1000</f>
        <v>16.588212435233164</v>
      </c>
      <c r="AQ17" s="138">
        <f>AC17*K17+($A$4-80)*AJ17*$A$16/1000</f>
        <v>16.430829015544045</v>
      </c>
      <c r="AR17" s="138">
        <f>AD17*M17+($A$4-80)*AK17*$A$16/1000</f>
        <v>16.273445595854927</v>
      </c>
      <c r="AS17" s="138">
        <f>AE17*O17+($A$4-80)*AL17*$A$16/1000</f>
        <v>15.549481865284976</v>
      </c>
    </row>
    <row r="18" spans="1:45" x14ac:dyDescent="0.2">
      <c r="A18" s="169"/>
      <c r="B18" s="55">
        <v>67</v>
      </c>
      <c r="C18" s="56">
        <f t="shared" si="7"/>
        <v>27.006994818652849</v>
      </c>
      <c r="D18" s="58">
        <f t="shared" si="0"/>
        <v>18.256476683937823</v>
      </c>
      <c r="E18" s="56">
        <f t="shared" si="8"/>
        <v>26.755181347150259</v>
      </c>
      <c r="F18" s="58">
        <f t="shared" si="1"/>
        <v>18.697150259067357</v>
      </c>
      <c r="G18" s="56">
        <f t="shared" si="9"/>
        <v>26.377461139896372</v>
      </c>
      <c r="H18" s="56">
        <f t="shared" si="2"/>
        <v>18.69715025906736</v>
      </c>
      <c r="I18" s="56">
        <f t="shared" si="10"/>
        <v>25.999740932642482</v>
      </c>
      <c r="J18" s="56">
        <f t="shared" si="3"/>
        <v>18.697150259067357</v>
      </c>
      <c r="K18" s="56">
        <f t="shared" si="11"/>
        <v>25.370207253886008</v>
      </c>
      <c r="L18" s="58">
        <f t="shared" si="4"/>
        <v>18.508290155440413</v>
      </c>
      <c r="M18" s="56">
        <f t="shared" si="14"/>
        <v>24.740673575129531</v>
      </c>
      <c r="N18" s="58">
        <f t="shared" si="5"/>
        <v>18.319430051813473</v>
      </c>
      <c r="O18" s="56">
        <f t="shared" si="13"/>
        <v>22.977979274611396</v>
      </c>
      <c r="P18" s="59">
        <f t="shared" si="6"/>
        <v>17.501036269430049</v>
      </c>
      <c r="R18" s="146">
        <v>1.1113989637305699</v>
      </c>
      <c r="S18" s="146">
        <v>1.1010362694300517</v>
      </c>
      <c r="T18" s="146">
        <v>1.0854922279792745</v>
      </c>
      <c r="U18" s="146">
        <v>1.0699481865284972</v>
      </c>
      <c r="V18" s="146">
        <v>1.044041450777202</v>
      </c>
      <c r="W18" s="146">
        <v>1.0181347150259066</v>
      </c>
      <c r="X18" s="146">
        <v>0.94559585492227971</v>
      </c>
      <c r="Y18" s="147">
        <v>0.67599067599067597</v>
      </c>
      <c r="Z18" s="147">
        <v>0.69882352941176473</v>
      </c>
      <c r="AA18" s="147">
        <v>0.70883054892601438</v>
      </c>
      <c r="AB18" s="147">
        <v>0.71912832929782089</v>
      </c>
      <c r="AC18" s="147">
        <v>0.72952853598014888</v>
      </c>
      <c r="AD18" s="147">
        <v>0.7404580152671757</v>
      </c>
      <c r="AE18" s="147">
        <v>0.76164383561643834</v>
      </c>
      <c r="AF18" s="148">
        <v>0.88888888888888884</v>
      </c>
      <c r="AG18" s="148">
        <v>0.9185185185185184</v>
      </c>
      <c r="AH18" s="148">
        <v>0.9333333333333329</v>
      </c>
      <c r="AI18" s="148">
        <v>0.94814814814814807</v>
      </c>
      <c r="AJ18" s="148">
        <v>0.94814814814814807</v>
      </c>
      <c r="AK18" s="148">
        <v>0.94814814814814807</v>
      </c>
      <c r="AL18" s="148">
        <v>0.9037037037037039</v>
      </c>
      <c r="AM18" s="138">
        <f>Y18*C18+($A$4-80)*AF18*$A$16/1000</f>
        <v>18.256476683937823</v>
      </c>
      <c r="AN18" s="138">
        <f>Z18*E18+($A$4-80)*AG18*$A$16/1000</f>
        <v>18.697150259067357</v>
      </c>
      <c r="AO18" s="138">
        <f>AA18*G18+($A$4-80)*AH18*$A$16/1000</f>
        <v>18.69715025906736</v>
      </c>
      <c r="AP18" s="138">
        <f>AB18*I18+($A$4-80)*AI18*$A$16/1000</f>
        <v>18.697150259067357</v>
      </c>
      <c r="AQ18" s="138">
        <f>AC18*K18+($A$4-80)*AJ18*$A$16/1000</f>
        <v>18.508290155440413</v>
      </c>
      <c r="AR18" s="138">
        <f>AD18*M18+($A$4-80)*AK18*$A$16/1000</f>
        <v>18.319430051813473</v>
      </c>
      <c r="AS18" s="138">
        <f>AE18*O18+($A$4-80)*AL18*$A$16/1000</f>
        <v>17.501036269430049</v>
      </c>
    </row>
    <row r="19" spans="1:45" ht="13.5" thickBot="1" x14ac:dyDescent="0.25">
      <c r="A19" s="170"/>
      <c r="B19" s="60">
        <v>62</v>
      </c>
      <c r="C19" s="61">
        <f t="shared" si="7"/>
        <v>25.370207253886008</v>
      </c>
      <c r="D19" s="61">
        <f t="shared" si="0"/>
        <v>22.411398963730569</v>
      </c>
      <c r="E19" s="61">
        <f t="shared" si="8"/>
        <v>24.488860103626944</v>
      </c>
      <c r="F19" s="61">
        <f t="shared" si="1"/>
        <v>22.348445595854923</v>
      </c>
      <c r="G19" s="61">
        <f t="shared" si="9"/>
        <v>23.953756476683935</v>
      </c>
      <c r="H19" s="61">
        <f t="shared" si="2"/>
        <v>22.191062176165801</v>
      </c>
      <c r="I19" s="61">
        <f t="shared" si="10"/>
        <v>23.418652849740937</v>
      </c>
      <c r="J19" s="61">
        <f t="shared" si="3"/>
        <v>22.033678756476686</v>
      </c>
      <c r="K19" s="61">
        <f t="shared" si="11"/>
        <v>22.820595854922281</v>
      </c>
      <c r="L19" s="61">
        <f t="shared" si="4"/>
        <v>21.718911917098449</v>
      </c>
      <c r="M19" s="61">
        <f t="shared" si="14"/>
        <v>22.222538860103626</v>
      </c>
      <c r="N19" s="61">
        <f t="shared" si="5"/>
        <v>21.404145077720209</v>
      </c>
      <c r="O19" s="61">
        <f t="shared" si="13"/>
        <v>20.837564766839382</v>
      </c>
      <c r="P19" s="62">
        <f t="shared" si="6"/>
        <v>20.459844559585495</v>
      </c>
      <c r="R19" s="146">
        <v>1.044041450777202</v>
      </c>
      <c r="S19" s="146">
        <v>1.0077720207253886</v>
      </c>
      <c r="T19" s="146">
        <v>0.9857512953367874</v>
      </c>
      <c r="U19" s="146">
        <v>0.96373056994818662</v>
      </c>
      <c r="V19" s="146">
        <v>0.93911917098445596</v>
      </c>
      <c r="W19" s="146">
        <v>0.91450777202072531</v>
      </c>
      <c r="X19" s="146">
        <v>0.8575129533678757</v>
      </c>
      <c r="Y19" s="147">
        <v>0.88337468982630285</v>
      </c>
      <c r="Z19" s="147">
        <v>0.91259640102827766</v>
      </c>
      <c r="AA19" s="147">
        <v>0.92641261498028915</v>
      </c>
      <c r="AB19" s="147">
        <v>0.94086021505376338</v>
      </c>
      <c r="AC19" s="147">
        <v>0.9517241379310345</v>
      </c>
      <c r="AD19" s="147">
        <v>0.96317280453257803</v>
      </c>
      <c r="AE19" s="147">
        <v>0.98187311178247727</v>
      </c>
      <c r="AF19" s="148">
        <v>0.88888888888888884</v>
      </c>
      <c r="AG19" s="148">
        <v>0.9185185185185184</v>
      </c>
      <c r="AH19" s="148">
        <v>0.9333333333333329</v>
      </c>
      <c r="AI19" s="148">
        <v>0.94814814814814807</v>
      </c>
      <c r="AJ19" s="148">
        <v>0.94814814814814807</v>
      </c>
      <c r="AK19" s="148">
        <v>0.94814814814814807</v>
      </c>
      <c r="AL19" s="148">
        <v>0.9037037037037039</v>
      </c>
      <c r="AM19" s="138">
        <f>Y19*C19+($A$4-80)*AF19*$A$16/1000</f>
        <v>22.411398963730569</v>
      </c>
      <c r="AN19" s="138">
        <f>Z19*E19+($A$4-80)*AG19*$A$16/1000</f>
        <v>22.348445595854923</v>
      </c>
      <c r="AO19" s="138">
        <f>AA19*G19+($A$4-80)*AH19*$A$16/1000</f>
        <v>22.191062176165801</v>
      </c>
      <c r="AP19" s="138">
        <f>AB19*I19+($A$4-80)*AI19*$A$16/1000</f>
        <v>22.033678756476686</v>
      </c>
      <c r="AQ19" s="138">
        <f>AC19*K19+($A$4-80)*AJ19*$A$16/1000</f>
        <v>21.718911917098449</v>
      </c>
      <c r="AR19" s="138">
        <f>AD19*M19+($A$4-80)*AK19*$A$16/1000</f>
        <v>21.404145077720209</v>
      </c>
      <c r="AS19" s="138">
        <f>AE19*O19+($A$4-80)*AL19*$A$16/1000</f>
        <v>20.459844559585495</v>
      </c>
    </row>
    <row r="22" spans="1:45" x14ac:dyDescent="0.2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</row>
    <row r="23" spans="1:45" ht="15" x14ac:dyDescent="0.25">
      <c r="B23" s="64"/>
      <c r="C23" s="64"/>
      <c r="D23" s="64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</row>
    <row r="24" spans="1:45" ht="12.75" customHeight="1" x14ac:dyDescent="0.25">
      <c r="B24" s="65"/>
      <c r="C24" s="65"/>
      <c r="D24" s="65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</row>
    <row r="25" spans="1:45" ht="15" x14ac:dyDescent="0.2">
      <c r="A25" s="174"/>
      <c r="B25" s="175"/>
      <c r="C25" s="145"/>
      <c r="D25" s="145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</row>
    <row r="26" spans="1:45" ht="15" x14ac:dyDescent="0.2">
      <c r="A26" s="174"/>
      <c r="B26" s="174"/>
      <c r="C26" s="144"/>
      <c r="D26" s="144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</row>
    <row r="27" spans="1:45" ht="15" x14ac:dyDescent="0.2">
      <c r="A27" s="174"/>
      <c r="B27" s="174"/>
      <c r="C27" s="144"/>
      <c r="D27" s="144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</row>
    <row r="28" spans="1:45" x14ac:dyDescent="0.2">
      <c r="A28" s="173"/>
      <c r="B28" s="66"/>
      <c r="C28" s="66"/>
      <c r="D28" s="66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1:45" x14ac:dyDescent="0.2">
      <c r="A29" s="173"/>
      <c r="B29" s="66"/>
      <c r="C29" s="66"/>
      <c r="D29" s="66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1:45" x14ac:dyDescent="0.2">
      <c r="A30" s="173"/>
      <c r="B30" s="66"/>
      <c r="C30" s="66"/>
      <c r="D30" s="66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1:45" x14ac:dyDescent="0.2">
      <c r="A31" s="173"/>
      <c r="B31" s="66"/>
      <c r="C31" s="66"/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1:45" x14ac:dyDescent="0.2">
      <c r="A32" s="173"/>
      <c r="B32" s="66"/>
      <c r="C32" s="66"/>
      <c r="D32" s="66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1:16" x14ac:dyDescent="0.2">
      <c r="A33" s="173"/>
      <c r="B33" s="66"/>
      <c r="C33" s="66"/>
      <c r="D33" s="66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1:16" x14ac:dyDescent="0.2">
      <c r="A34" s="173"/>
      <c r="B34" s="66"/>
      <c r="C34" s="66"/>
      <c r="D34" s="66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1:16" x14ac:dyDescent="0.2">
      <c r="A35" s="173"/>
      <c r="B35" s="66"/>
      <c r="C35" s="66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1:16" x14ac:dyDescent="0.2">
      <c r="A36" s="173"/>
      <c r="B36" s="66"/>
      <c r="C36" s="66"/>
      <c r="D36" s="66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1:16" x14ac:dyDescent="0.2">
      <c r="A37" s="173"/>
      <c r="B37" s="66"/>
      <c r="C37" s="66"/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x14ac:dyDescent="0.2">
      <c r="A38" s="173"/>
      <c r="B38" s="66"/>
      <c r="C38" s="66"/>
      <c r="D38" s="66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1:16" x14ac:dyDescent="0.2">
      <c r="A39" s="173"/>
      <c r="B39" s="66"/>
      <c r="C39" s="66"/>
      <c r="D39" s="66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x14ac:dyDescent="0.2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</row>
    <row r="41" spans="1:16" x14ac:dyDescent="0.2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</row>
    <row r="42" spans="1:16" ht="15" x14ac:dyDescent="0.25">
      <c r="A42" s="174"/>
      <c r="B42" s="174"/>
      <c r="C42" s="144"/>
      <c r="D42" s="144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</row>
    <row r="43" spans="1:16" ht="15" x14ac:dyDescent="0.2">
      <c r="A43" s="174"/>
      <c r="B43" s="174"/>
      <c r="C43" s="144"/>
      <c r="D43" s="144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</row>
    <row r="44" spans="1:16" ht="15" x14ac:dyDescent="0.2">
      <c r="A44" s="174"/>
      <c r="B44" s="175"/>
      <c r="C44" s="145"/>
      <c r="D44" s="145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</row>
    <row r="45" spans="1:16" ht="15" x14ac:dyDescent="0.2">
      <c r="A45" s="174"/>
      <c r="B45" s="174"/>
      <c r="C45" s="144"/>
      <c r="D45" s="144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</row>
    <row r="46" spans="1:16" ht="15" x14ac:dyDescent="0.2">
      <c r="A46" s="174"/>
      <c r="B46" s="174"/>
      <c r="C46" s="144"/>
      <c r="D46" s="144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</row>
    <row r="47" spans="1:16" x14ac:dyDescent="0.2">
      <c r="A47" s="173"/>
      <c r="B47" s="66"/>
      <c r="C47" s="66"/>
      <c r="D47" s="66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1:16" x14ac:dyDescent="0.2">
      <c r="A48" s="173"/>
      <c r="B48" s="66"/>
      <c r="C48" s="66"/>
      <c r="D48" s="66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1:16" x14ac:dyDescent="0.2">
      <c r="A49" s="173"/>
      <c r="B49" s="66"/>
      <c r="C49" s="66"/>
      <c r="D49" s="66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1:16" x14ac:dyDescent="0.2">
      <c r="A50" s="173"/>
      <c r="B50" s="66"/>
      <c r="C50" s="66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1:16" x14ac:dyDescent="0.2">
      <c r="A51" s="173"/>
      <c r="B51" s="66"/>
      <c r="C51" s="66"/>
      <c r="D51" s="66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1:16" x14ac:dyDescent="0.2">
      <c r="A52" s="173"/>
      <c r="B52" s="66"/>
      <c r="C52" s="66"/>
      <c r="D52" s="66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1:16" x14ac:dyDescent="0.2">
      <c r="A53" s="173"/>
      <c r="B53" s="66"/>
      <c r="C53" s="66"/>
      <c r="D53" s="66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1:16" x14ac:dyDescent="0.2">
      <c r="A54" s="173"/>
      <c r="B54" s="66"/>
      <c r="C54" s="66"/>
      <c r="D54" s="66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1:16" x14ac:dyDescent="0.2">
      <c r="A55" s="173"/>
      <c r="B55" s="66"/>
      <c r="C55" s="66"/>
      <c r="D55" s="66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1:16" x14ac:dyDescent="0.2">
      <c r="A56" s="173"/>
      <c r="B56" s="66"/>
      <c r="C56" s="66"/>
      <c r="D56" s="66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1:16" x14ac:dyDescent="0.2">
      <c r="A57" s="173"/>
      <c r="B57" s="66"/>
      <c r="C57" s="66"/>
      <c r="D57" s="66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1:16" x14ac:dyDescent="0.2">
      <c r="A58" s="173"/>
      <c r="B58" s="66"/>
      <c r="C58" s="66"/>
      <c r="D58" s="66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6" x14ac:dyDescent="0.2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</row>
    <row r="60" spans="1:16" x14ac:dyDescent="0.2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ht="15" x14ac:dyDescent="0.25">
      <c r="A61" s="174"/>
      <c r="B61" s="174"/>
      <c r="C61" s="144"/>
      <c r="D61" s="144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</row>
    <row r="62" spans="1:16" ht="15" x14ac:dyDescent="0.2">
      <c r="A62" s="174"/>
      <c r="B62" s="174"/>
      <c r="C62" s="144"/>
      <c r="D62" s="144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</row>
    <row r="63" spans="1:16" ht="15" x14ac:dyDescent="0.2">
      <c r="A63" s="174"/>
      <c r="B63" s="175"/>
      <c r="C63" s="145"/>
      <c r="D63" s="145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</row>
    <row r="64" spans="1:16" ht="15" x14ac:dyDescent="0.2">
      <c r="A64" s="174"/>
      <c r="B64" s="174"/>
      <c r="C64" s="144"/>
      <c r="D64" s="144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</row>
    <row r="65" spans="1:16" ht="15" x14ac:dyDescent="0.2">
      <c r="A65" s="174"/>
      <c r="B65" s="174"/>
      <c r="C65" s="144"/>
      <c r="D65" s="144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</row>
    <row r="66" spans="1:16" x14ac:dyDescent="0.2">
      <c r="A66" s="173"/>
      <c r="B66" s="66"/>
      <c r="C66" s="66"/>
      <c r="D66" s="66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1:16" x14ac:dyDescent="0.2">
      <c r="A67" s="173"/>
      <c r="B67" s="66"/>
      <c r="C67" s="66"/>
      <c r="D67" s="66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1:16" x14ac:dyDescent="0.2">
      <c r="A68" s="173"/>
      <c r="B68" s="66"/>
      <c r="C68" s="66"/>
      <c r="D68" s="66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1:16" x14ac:dyDescent="0.2">
      <c r="A69" s="173"/>
      <c r="B69" s="66"/>
      <c r="C69" s="66"/>
      <c r="D69" s="66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1:16" x14ac:dyDescent="0.2">
      <c r="A70" s="173"/>
      <c r="B70" s="66"/>
      <c r="C70" s="66"/>
      <c r="D70" s="66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1:16" x14ac:dyDescent="0.2">
      <c r="A71" s="173"/>
      <c r="B71" s="66"/>
      <c r="C71" s="66"/>
      <c r="D71" s="66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1:16" x14ac:dyDescent="0.2">
      <c r="A72" s="173"/>
      <c r="B72" s="66"/>
      <c r="C72" s="66"/>
      <c r="D72" s="66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1:16" x14ac:dyDescent="0.2">
      <c r="A73" s="173"/>
      <c r="B73" s="66"/>
      <c r="C73" s="66"/>
      <c r="D73" s="66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1:16" x14ac:dyDescent="0.2">
      <c r="A74" s="173"/>
      <c r="B74" s="66"/>
      <c r="C74" s="66"/>
      <c r="D74" s="66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1:16" x14ac:dyDescent="0.2">
      <c r="A75" s="173"/>
      <c r="B75" s="66"/>
      <c r="C75" s="66"/>
      <c r="D75" s="66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1:16" x14ac:dyDescent="0.2">
      <c r="A76" s="173"/>
      <c r="B76" s="66"/>
      <c r="C76" s="66"/>
      <c r="D76" s="66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1:16" x14ac:dyDescent="0.2">
      <c r="A77" s="173"/>
      <c r="B77" s="66"/>
      <c r="C77" s="66"/>
      <c r="D77" s="66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1:16" x14ac:dyDescent="0.2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</row>
    <row r="79" spans="1:16" x14ac:dyDescent="0.2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</row>
    <row r="80" spans="1:16" ht="15" x14ac:dyDescent="0.25">
      <c r="A80" s="174"/>
      <c r="B80" s="174"/>
      <c r="C80" s="144"/>
      <c r="D80" s="144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</row>
    <row r="81" spans="1:16" ht="15" x14ac:dyDescent="0.2">
      <c r="A81" s="174"/>
      <c r="B81" s="174"/>
      <c r="C81" s="144"/>
      <c r="D81" s="144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</row>
    <row r="82" spans="1:16" ht="15" x14ac:dyDescent="0.2">
      <c r="A82" s="174"/>
      <c r="B82" s="175"/>
      <c r="C82" s="145"/>
      <c r="D82" s="145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</row>
    <row r="83" spans="1:16" ht="15" x14ac:dyDescent="0.2">
      <c r="A83" s="174"/>
      <c r="B83" s="174"/>
      <c r="C83" s="144"/>
      <c r="D83" s="144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</row>
    <row r="84" spans="1:16" ht="15" x14ac:dyDescent="0.2">
      <c r="A84" s="174"/>
      <c r="B84" s="174"/>
      <c r="C84" s="144"/>
      <c r="D84" s="144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</row>
    <row r="85" spans="1:16" x14ac:dyDescent="0.2">
      <c r="A85" s="173"/>
      <c r="B85" s="66"/>
      <c r="C85" s="66"/>
      <c r="D85" s="66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1:16" x14ac:dyDescent="0.2">
      <c r="A86" s="173"/>
      <c r="B86" s="66"/>
      <c r="C86" s="66"/>
      <c r="D86" s="66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1:16" x14ac:dyDescent="0.2">
      <c r="A87" s="173"/>
      <c r="B87" s="66"/>
      <c r="C87" s="66"/>
      <c r="D87" s="66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1:16" x14ac:dyDescent="0.2">
      <c r="A88" s="173"/>
      <c r="B88" s="66"/>
      <c r="C88" s="66"/>
      <c r="D88" s="66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1:16" x14ac:dyDescent="0.2">
      <c r="A89" s="173"/>
      <c r="B89" s="66"/>
      <c r="C89" s="66"/>
      <c r="D89" s="66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1:16" x14ac:dyDescent="0.2">
      <c r="A90" s="173"/>
      <c r="B90" s="66"/>
      <c r="C90" s="66"/>
      <c r="D90" s="66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1:16" x14ac:dyDescent="0.2">
      <c r="A91" s="173"/>
      <c r="B91" s="66"/>
      <c r="C91" s="66"/>
      <c r="D91" s="66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1:16" x14ac:dyDescent="0.2">
      <c r="A92" s="173"/>
      <c r="B92" s="66"/>
      <c r="C92" s="66"/>
      <c r="D92" s="66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1:16" x14ac:dyDescent="0.2">
      <c r="A93" s="173"/>
      <c r="B93" s="66"/>
      <c r="C93" s="66"/>
      <c r="D93" s="66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1:16" x14ac:dyDescent="0.2">
      <c r="A94" s="173"/>
      <c r="B94" s="66"/>
      <c r="C94" s="66"/>
      <c r="D94" s="66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1:16" x14ac:dyDescent="0.2">
      <c r="A95" s="173"/>
      <c r="B95" s="66"/>
      <c r="C95" s="66"/>
      <c r="D95" s="66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1:16" x14ac:dyDescent="0.2">
      <c r="A96" s="173"/>
      <c r="B96" s="66"/>
      <c r="C96" s="66"/>
      <c r="D96" s="66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1:16" x14ac:dyDescent="0.2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</row>
    <row r="98" spans="1:16" x14ac:dyDescent="0.2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</row>
    <row r="99" spans="1:16" ht="15" x14ac:dyDescent="0.25">
      <c r="A99" s="174"/>
      <c r="B99" s="174"/>
      <c r="C99" s="144"/>
      <c r="D99" s="144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</row>
    <row r="100" spans="1:16" ht="15" x14ac:dyDescent="0.2">
      <c r="A100" s="174"/>
      <c r="B100" s="174"/>
      <c r="C100" s="144"/>
      <c r="D100" s="144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</row>
    <row r="101" spans="1:16" ht="15" x14ac:dyDescent="0.2">
      <c r="A101" s="174"/>
      <c r="B101" s="175"/>
      <c r="C101" s="145"/>
      <c r="D101" s="145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</row>
    <row r="102" spans="1:16" ht="15" x14ac:dyDescent="0.2">
      <c r="A102" s="174"/>
      <c r="B102" s="174"/>
      <c r="C102" s="144"/>
      <c r="D102" s="144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</row>
    <row r="103" spans="1:16" ht="15" x14ac:dyDescent="0.2">
      <c r="A103" s="174"/>
      <c r="B103" s="174"/>
      <c r="C103" s="144"/>
      <c r="D103" s="144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</row>
    <row r="104" spans="1:16" x14ac:dyDescent="0.2">
      <c r="A104" s="173"/>
      <c r="B104" s="66"/>
      <c r="C104" s="66"/>
      <c r="D104" s="66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1:16" x14ac:dyDescent="0.2">
      <c r="A105" s="173"/>
      <c r="B105" s="66"/>
      <c r="C105" s="66"/>
      <c r="D105" s="66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1:16" x14ac:dyDescent="0.2">
      <c r="A106" s="173"/>
      <c r="B106" s="66"/>
      <c r="C106" s="66"/>
      <c r="D106" s="66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1:16" x14ac:dyDescent="0.2">
      <c r="A107" s="173"/>
      <c r="B107" s="66"/>
      <c r="C107" s="66"/>
      <c r="D107" s="66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1:16" x14ac:dyDescent="0.2">
      <c r="A108" s="173"/>
      <c r="B108" s="66"/>
      <c r="C108" s="66"/>
      <c r="D108" s="66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1:16" x14ac:dyDescent="0.2">
      <c r="A109" s="173"/>
      <c r="B109" s="66"/>
      <c r="C109" s="66"/>
      <c r="D109" s="66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1:16" x14ac:dyDescent="0.2">
      <c r="A110" s="173"/>
      <c r="B110" s="66"/>
      <c r="C110" s="66"/>
      <c r="D110" s="66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  <row r="111" spans="1:16" x14ac:dyDescent="0.2">
      <c r="A111" s="173"/>
      <c r="B111" s="66"/>
      <c r="C111" s="66"/>
      <c r="D111" s="66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</row>
    <row r="112" spans="1:16" x14ac:dyDescent="0.2">
      <c r="A112" s="173"/>
      <c r="B112" s="66"/>
      <c r="C112" s="66"/>
      <c r="D112" s="66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</row>
    <row r="113" spans="1:16" x14ac:dyDescent="0.2">
      <c r="A113" s="173"/>
      <c r="B113" s="66"/>
      <c r="C113" s="66"/>
      <c r="D113" s="66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</row>
    <row r="114" spans="1:16" x14ac:dyDescent="0.2">
      <c r="A114" s="173"/>
      <c r="B114" s="66"/>
      <c r="C114" s="66"/>
      <c r="D114" s="66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</row>
    <row r="115" spans="1:16" x14ac:dyDescent="0.2">
      <c r="A115" s="173"/>
      <c r="B115" s="66"/>
      <c r="C115" s="66"/>
      <c r="D115" s="66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</row>
    <row r="116" spans="1:16" x14ac:dyDescent="0.2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</row>
    <row r="117" spans="1:16" x14ac:dyDescent="0.2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</row>
    <row r="118" spans="1:16" ht="15" x14ac:dyDescent="0.25">
      <c r="A118" s="174"/>
      <c r="B118" s="174"/>
      <c r="C118" s="144"/>
      <c r="D118" s="144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</row>
    <row r="119" spans="1:16" ht="15" x14ac:dyDescent="0.2">
      <c r="A119" s="174"/>
      <c r="B119" s="174"/>
      <c r="C119" s="144"/>
      <c r="D119" s="144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</row>
    <row r="120" spans="1:16" ht="15" x14ac:dyDescent="0.2">
      <c r="A120" s="174"/>
      <c r="B120" s="175"/>
      <c r="C120" s="145"/>
      <c r="D120" s="145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</row>
    <row r="121" spans="1:16" ht="15" x14ac:dyDescent="0.2">
      <c r="A121" s="174"/>
      <c r="B121" s="174"/>
      <c r="C121" s="144"/>
      <c r="D121" s="144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</row>
    <row r="122" spans="1:16" ht="15" x14ac:dyDescent="0.2">
      <c r="A122" s="174"/>
      <c r="B122" s="174"/>
      <c r="C122" s="144"/>
      <c r="D122" s="144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x14ac:dyDescent="0.2">
      <c r="A123" s="173"/>
      <c r="B123" s="66"/>
      <c r="C123" s="66"/>
      <c r="D123" s="66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</row>
    <row r="124" spans="1:16" x14ac:dyDescent="0.2">
      <c r="A124" s="173"/>
      <c r="B124" s="66"/>
      <c r="C124" s="66"/>
      <c r="D124" s="66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</row>
    <row r="125" spans="1:16" x14ac:dyDescent="0.2">
      <c r="A125" s="173"/>
      <c r="B125" s="66"/>
      <c r="C125" s="66"/>
      <c r="D125" s="66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</row>
    <row r="126" spans="1:16" x14ac:dyDescent="0.2">
      <c r="A126" s="173"/>
      <c r="B126" s="66"/>
      <c r="C126" s="66"/>
      <c r="D126" s="66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</row>
    <row r="127" spans="1:16" x14ac:dyDescent="0.2">
      <c r="A127" s="173"/>
      <c r="B127" s="66"/>
      <c r="C127" s="66"/>
      <c r="D127" s="66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</row>
    <row r="128" spans="1:16" x14ac:dyDescent="0.2">
      <c r="A128" s="173"/>
      <c r="B128" s="66"/>
      <c r="C128" s="66"/>
      <c r="D128" s="66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</row>
    <row r="129" spans="1:16" x14ac:dyDescent="0.2">
      <c r="A129" s="173"/>
      <c r="B129" s="66"/>
      <c r="C129" s="66"/>
      <c r="D129" s="66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</row>
    <row r="130" spans="1:16" x14ac:dyDescent="0.2">
      <c r="A130" s="173"/>
      <c r="B130" s="66"/>
      <c r="C130" s="66"/>
      <c r="D130" s="66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</row>
    <row r="131" spans="1:16" x14ac:dyDescent="0.2">
      <c r="A131" s="173"/>
      <c r="B131" s="66"/>
      <c r="C131" s="66"/>
      <c r="D131" s="66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</row>
    <row r="132" spans="1:16" x14ac:dyDescent="0.2">
      <c r="A132" s="173"/>
      <c r="B132" s="66"/>
      <c r="C132" s="66"/>
      <c r="D132" s="66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</row>
    <row r="133" spans="1:16" x14ac:dyDescent="0.2">
      <c r="A133" s="173"/>
      <c r="B133" s="66"/>
      <c r="C133" s="66"/>
      <c r="D133" s="66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</row>
    <row r="134" spans="1:16" x14ac:dyDescent="0.2">
      <c r="A134" s="173"/>
      <c r="B134" s="66"/>
      <c r="C134" s="66"/>
      <c r="D134" s="66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</row>
    <row r="135" spans="1:16" x14ac:dyDescent="0.2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</row>
    <row r="136" spans="1:16" x14ac:dyDescent="0.2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</row>
    <row r="137" spans="1:16" x14ac:dyDescent="0.2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</row>
    <row r="138" spans="1:16" x14ac:dyDescent="0.2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</row>
  </sheetData>
  <mergeCells count="220">
    <mergeCell ref="A131:A134"/>
    <mergeCell ref="M121:M122"/>
    <mergeCell ref="N121:N122"/>
    <mergeCell ref="O121:O122"/>
    <mergeCell ref="P121:P122"/>
    <mergeCell ref="A123:A126"/>
    <mergeCell ref="A127:A130"/>
    <mergeCell ref="M120:N120"/>
    <mergeCell ref="O120:P120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A120:A122"/>
    <mergeCell ref="B120:B122"/>
    <mergeCell ref="E120:F120"/>
    <mergeCell ref="G120:H120"/>
    <mergeCell ref="I120:J120"/>
    <mergeCell ref="K120:L120"/>
    <mergeCell ref="A112:A115"/>
    <mergeCell ref="A118:B119"/>
    <mergeCell ref="E118:P118"/>
    <mergeCell ref="E119:F119"/>
    <mergeCell ref="G119:H119"/>
    <mergeCell ref="I119:J119"/>
    <mergeCell ref="K119:L119"/>
    <mergeCell ref="M119:N119"/>
    <mergeCell ref="O119:P119"/>
    <mergeCell ref="M102:M103"/>
    <mergeCell ref="N102:N103"/>
    <mergeCell ref="O102:O103"/>
    <mergeCell ref="P102:P103"/>
    <mergeCell ref="A104:A107"/>
    <mergeCell ref="A108:A111"/>
    <mergeCell ref="M101:N101"/>
    <mergeCell ref="O101:P101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A101:A103"/>
    <mergeCell ref="B101:B103"/>
    <mergeCell ref="E101:F101"/>
    <mergeCell ref="G101:H101"/>
    <mergeCell ref="I101:J101"/>
    <mergeCell ref="K101:L101"/>
    <mergeCell ref="A93:A96"/>
    <mergeCell ref="A99:B100"/>
    <mergeCell ref="E99:P99"/>
    <mergeCell ref="E100:F100"/>
    <mergeCell ref="G100:H100"/>
    <mergeCell ref="I100:J100"/>
    <mergeCell ref="K100:L100"/>
    <mergeCell ref="M100:N100"/>
    <mergeCell ref="O100:P100"/>
    <mergeCell ref="M83:M84"/>
    <mergeCell ref="N83:N84"/>
    <mergeCell ref="O83:O84"/>
    <mergeCell ref="P83:P84"/>
    <mergeCell ref="A85:A88"/>
    <mergeCell ref="A89:A92"/>
    <mergeCell ref="M82:N82"/>
    <mergeCell ref="O82:P82"/>
    <mergeCell ref="E83:E84"/>
    <mergeCell ref="F83:F84"/>
    <mergeCell ref="G83:G84"/>
    <mergeCell ref="H83:H84"/>
    <mergeCell ref="I83:I84"/>
    <mergeCell ref="J83:J84"/>
    <mergeCell ref="K83:K84"/>
    <mergeCell ref="L83:L84"/>
    <mergeCell ref="A82:A84"/>
    <mergeCell ref="B82:B84"/>
    <mergeCell ref="E82:F82"/>
    <mergeCell ref="G82:H82"/>
    <mergeCell ref="I82:J82"/>
    <mergeCell ref="K82:L82"/>
    <mergeCell ref="A74:A77"/>
    <mergeCell ref="A80:B81"/>
    <mergeCell ref="E80:P80"/>
    <mergeCell ref="E81:F81"/>
    <mergeCell ref="G81:H81"/>
    <mergeCell ref="I81:J81"/>
    <mergeCell ref="K81:L81"/>
    <mergeCell ref="M81:N81"/>
    <mergeCell ref="O81:P81"/>
    <mergeCell ref="M64:M65"/>
    <mergeCell ref="N64:N65"/>
    <mergeCell ref="O64:O65"/>
    <mergeCell ref="P64:P65"/>
    <mergeCell ref="A66:A69"/>
    <mergeCell ref="A70:A73"/>
    <mergeCell ref="M63:N63"/>
    <mergeCell ref="O63:P63"/>
    <mergeCell ref="E64:E65"/>
    <mergeCell ref="F64:F65"/>
    <mergeCell ref="G64:G65"/>
    <mergeCell ref="H64:H65"/>
    <mergeCell ref="I64:I65"/>
    <mergeCell ref="J64:J65"/>
    <mergeCell ref="K64:K65"/>
    <mergeCell ref="L64:L65"/>
    <mergeCell ref="A63:A65"/>
    <mergeCell ref="B63:B65"/>
    <mergeCell ref="E63:F63"/>
    <mergeCell ref="G63:H63"/>
    <mergeCell ref="I63:J63"/>
    <mergeCell ref="K63:L63"/>
    <mergeCell ref="A55:A58"/>
    <mergeCell ref="A61:B62"/>
    <mergeCell ref="E61:P61"/>
    <mergeCell ref="E62:F62"/>
    <mergeCell ref="G62:H62"/>
    <mergeCell ref="I62:J62"/>
    <mergeCell ref="K62:L62"/>
    <mergeCell ref="M62:N62"/>
    <mergeCell ref="O62:P62"/>
    <mergeCell ref="M45:M46"/>
    <mergeCell ref="N45:N46"/>
    <mergeCell ref="O45:O46"/>
    <mergeCell ref="P45:P46"/>
    <mergeCell ref="A47:A50"/>
    <mergeCell ref="A51:A54"/>
    <mergeCell ref="M44:N44"/>
    <mergeCell ref="O44:P44"/>
    <mergeCell ref="E45:E46"/>
    <mergeCell ref="F45:F46"/>
    <mergeCell ref="G45:G46"/>
    <mergeCell ref="H45:H46"/>
    <mergeCell ref="I45:I46"/>
    <mergeCell ref="J45:J46"/>
    <mergeCell ref="K45:K46"/>
    <mergeCell ref="L45:L46"/>
    <mergeCell ref="A44:A46"/>
    <mergeCell ref="B44:B46"/>
    <mergeCell ref="E44:F44"/>
    <mergeCell ref="G44:H44"/>
    <mergeCell ref="I44:J44"/>
    <mergeCell ref="K44:L44"/>
    <mergeCell ref="A36:A39"/>
    <mergeCell ref="A42:B43"/>
    <mergeCell ref="E42:P42"/>
    <mergeCell ref="E43:F43"/>
    <mergeCell ref="G43:H43"/>
    <mergeCell ref="I43:J43"/>
    <mergeCell ref="K43:L43"/>
    <mergeCell ref="M43:N43"/>
    <mergeCell ref="O43:P43"/>
    <mergeCell ref="M26:M27"/>
    <mergeCell ref="N26:N27"/>
    <mergeCell ref="O26:O27"/>
    <mergeCell ref="P26:P27"/>
    <mergeCell ref="A28:A31"/>
    <mergeCell ref="A32:A35"/>
    <mergeCell ref="M25:N25"/>
    <mergeCell ref="O25:P25"/>
    <mergeCell ref="E26:E27"/>
    <mergeCell ref="F26:F27"/>
    <mergeCell ref="G26:G27"/>
    <mergeCell ref="H26:H27"/>
    <mergeCell ref="I26:I27"/>
    <mergeCell ref="J26:J27"/>
    <mergeCell ref="K26:K27"/>
    <mergeCell ref="L26:L27"/>
    <mergeCell ref="A25:A27"/>
    <mergeCell ref="B25:B27"/>
    <mergeCell ref="E25:F25"/>
    <mergeCell ref="G25:H25"/>
    <mergeCell ref="I25:J25"/>
    <mergeCell ref="K25:L25"/>
    <mergeCell ref="A8:A11"/>
    <mergeCell ref="A12:A15"/>
    <mergeCell ref="A16:A19"/>
    <mergeCell ref="E23:P23"/>
    <mergeCell ref="E24:F24"/>
    <mergeCell ref="G24:H24"/>
    <mergeCell ref="I24:J24"/>
    <mergeCell ref="K24:L24"/>
    <mergeCell ref="M24:N24"/>
    <mergeCell ref="O24:P24"/>
    <mergeCell ref="K6:K7"/>
    <mergeCell ref="L6:L7"/>
    <mergeCell ref="M6:M7"/>
    <mergeCell ref="N6:N7"/>
    <mergeCell ref="O6:O7"/>
    <mergeCell ref="P6:P7"/>
    <mergeCell ref="K5:L5"/>
    <mergeCell ref="M5:N5"/>
    <mergeCell ref="O5:P5"/>
    <mergeCell ref="C6:C7"/>
    <mergeCell ref="D6:D7"/>
    <mergeCell ref="E6:E7"/>
    <mergeCell ref="F6:F7"/>
    <mergeCell ref="G6:G7"/>
    <mergeCell ref="H6:H7"/>
    <mergeCell ref="I6:I7"/>
    <mergeCell ref="A5:A7"/>
    <mergeCell ref="B5:B7"/>
    <mergeCell ref="C5:D5"/>
    <mergeCell ref="E5:F5"/>
    <mergeCell ref="G5:H5"/>
    <mergeCell ref="I5:J5"/>
    <mergeCell ref="J6:J7"/>
    <mergeCell ref="A3:B3"/>
    <mergeCell ref="C3:P3"/>
    <mergeCell ref="C4:D4"/>
    <mergeCell ref="E4:F4"/>
    <mergeCell ref="G4:H4"/>
    <mergeCell ref="I4:J4"/>
    <mergeCell ref="K4:L4"/>
    <mergeCell ref="M4:N4"/>
    <mergeCell ref="O4:P4"/>
  </mergeCells>
  <pageMargins left="0.25" right="0.25" top="0.75" bottom="0.75" header="0.5" footer="0.5"/>
  <pageSetup scale="2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theme="9" tint="-0.249977111117893"/>
    <pageSetUpPr fitToPage="1"/>
  </sheetPr>
  <dimension ref="A1:AS138"/>
  <sheetViews>
    <sheetView workbookViewId="0">
      <selection activeCell="C8" sqref="C8:P19"/>
    </sheetView>
  </sheetViews>
  <sheetFormatPr defaultRowHeight="12.75" x14ac:dyDescent="0.2"/>
  <cols>
    <col min="1" max="16384" width="9.140625" style="49"/>
  </cols>
  <sheetData>
    <row r="1" spans="1:45" x14ac:dyDescent="0.2">
      <c r="A1" s="48"/>
    </row>
    <row r="2" spans="1:45" ht="13.5" thickBot="1" x14ac:dyDescent="0.25">
      <c r="A2" s="49" t="s">
        <v>94</v>
      </c>
    </row>
    <row r="3" spans="1:45" ht="15" x14ac:dyDescent="0.25">
      <c r="A3" s="153" t="s">
        <v>20</v>
      </c>
      <c r="B3" s="154"/>
      <c r="C3" s="155" t="s">
        <v>5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7"/>
    </row>
    <row r="4" spans="1:45" ht="12.75" customHeight="1" x14ac:dyDescent="0.2">
      <c r="A4" s="50">
        <v>80</v>
      </c>
      <c r="B4" s="51" t="s">
        <v>19</v>
      </c>
      <c r="C4" s="158">
        <v>65</v>
      </c>
      <c r="D4" s="158"/>
      <c r="E4" s="158">
        <v>75</v>
      </c>
      <c r="F4" s="158"/>
      <c r="G4" s="158">
        <v>80</v>
      </c>
      <c r="H4" s="158"/>
      <c r="I4" s="158">
        <v>85</v>
      </c>
      <c r="J4" s="158"/>
      <c r="K4" s="158">
        <v>90</v>
      </c>
      <c r="L4" s="158"/>
      <c r="M4" s="158">
        <v>95</v>
      </c>
      <c r="N4" s="158"/>
      <c r="O4" s="158">
        <v>105</v>
      </c>
      <c r="P4" s="159"/>
    </row>
    <row r="5" spans="1:45" x14ac:dyDescent="0.2">
      <c r="A5" s="162" t="s">
        <v>0</v>
      </c>
      <c r="B5" s="164" t="s">
        <v>9</v>
      </c>
      <c r="C5" s="158" t="s">
        <v>1</v>
      </c>
      <c r="D5" s="158"/>
      <c r="E5" s="158" t="s">
        <v>1</v>
      </c>
      <c r="F5" s="158"/>
      <c r="G5" s="158" t="s">
        <v>1</v>
      </c>
      <c r="H5" s="158"/>
      <c r="I5" s="158" t="s">
        <v>1</v>
      </c>
      <c r="J5" s="158"/>
      <c r="K5" s="158" t="s">
        <v>1</v>
      </c>
      <c r="L5" s="158"/>
      <c r="M5" s="158" t="s">
        <v>1</v>
      </c>
      <c r="N5" s="158"/>
      <c r="O5" s="158" t="s">
        <v>1</v>
      </c>
      <c r="P5" s="159"/>
    </row>
    <row r="6" spans="1:45" ht="15" customHeight="1" x14ac:dyDescent="0.2">
      <c r="A6" s="162"/>
      <c r="B6" s="165"/>
      <c r="C6" s="160" t="s">
        <v>2</v>
      </c>
      <c r="D6" s="158" t="s">
        <v>3</v>
      </c>
      <c r="E6" s="160" t="s">
        <v>2</v>
      </c>
      <c r="F6" s="158" t="s">
        <v>3</v>
      </c>
      <c r="G6" s="158" t="s">
        <v>2</v>
      </c>
      <c r="H6" s="158" t="s">
        <v>3</v>
      </c>
      <c r="I6" s="158" t="s">
        <v>2</v>
      </c>
      <c r="J6" s="158" t="s">
        <v>3</v>
      </c>
      <c r="K6" s="158" t="s">
        <v>2</v>
      </c>
      <c r="L6" s="158" t="s">
        <v>3</v>
      </c>
      <c r="M6" s="158" t="s">
        <v>2</v>
      </c>
      <c r="N6" s="158" t="s">
        <v>3</v>
      </c>
      <c r="O6" s="158" t="s">
        <v>2</v>
      </c>
      <c r="P6" s="159" t="s">
        <v>3</v>
      </c>
    </row>
    <row r="7" spans="1:45" ht="15.75" customHeight="1" thickBot="1" x14ac:dyDescent="0.25">
      <c r="A7" s="163"/>
      <c r="B7" s="166"/>
      <c r="C7" s="161"/>
      <c r="D7" s="160"/>
      <c r="E7" s="161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7"/>
      <c r="R7" s="49" t="s">
        <v>26</v>
      </c>
      <c r="Y7" s="49" t="s">
        <v>12</v>
      </c>
      <c r="AF7" s="49" t="s">
        <v>83</v>
      </c>
      <c r="AM7" s="49" t="s">
        <v>84</v>
      </c>
    </row>
    <row r="8" spans="1:45" x14ac:dyDescent="0.2">
      <c r="A8" s="168">
        <v>1200</v>
      </c>
      <c r="B8" s="52">
        <v>72</v>
      </c>
      <c r="C8" s="53">
        <f>R8*$M$14</f>
        <v>28.396551724137929</v>
      </c>
      <c r="D8" s="53">
        <f t="shared" ref="D8:D19" si="0">IF(AM8&gt;C8,C8,AM8)</f>
        <v>13.360344827586205</v>
      </c>
      <c r="E8" s="53">
        <f>S8*$M$14</f>
        <v>27.97758620689655</v>
      </c>
      <c r="F8" s="53">
        <f t="shared" ref="F8:F19" si="1">IF(AN8&gt;E8,E8,AN8)</f>
        <v>13.174137931034483</v>
      </c>
      <c r="G8" s="53">
        <f>T8*$M$14</f>
        <v>27.535344827586211</v>
      </c>
      <c r="H8" s="53">
        <f t="shared" ref="H8:H19" si="2">IF(AO8&gt;G8,G8,AO8)</f>
        <v>13.011206896551727</v>
      </c>
      <c r="I8" s="53">
        <f>U8*$M$14</f>
        <v>27.093103448275865</v>
      </c>
      <c r="J8" s="53">
        <f t="shared" ref="J8:J19" si="3">IF(AP8&gt;I8,I8,AP8)</f>
        <v>12.848275862068967</v>
      </c>
      <c r="K8" s="53">
        <f>V8*$M$14</f>
        <v>26.418103448275861</v>
      </c>
      <c r="L8" s="53">
        <f t="shared" ref="L8:L19" si="4">IF(AQ8&gt;K8,K8,AQ8)</f>
        <v>12.61551724137931</v>
      </c>
      <c r="M8" s="53">
        <f>W8*$M$14</f>
        <v>25.743103448275861</v>
      </c>
      <c r="N8" s="53">
        <f t="shared" ref="N8:N19" si="5">IF(AR8&gt;M8,M8,AR8)</f>
        <v>12.382758620689657</v>
      </c>
      <c r="O8" s="53">
        <f>X8*$M$14</f>
        <v>23.927586206896549</v>
      </c>
      <c r="P8" s="54">
        <f t="shared" ref="P8:P19" si="6">IF(AS8&gt;O8,O8,AS8)</f>
        <v>11.73103448275862</v>
      </c>
      <c r="R8" s="146">
        <v>1.1685823754789271</v>
      </c>
      <c r="S8" s="146">
        <v>1.1513409961685823</v>
      </c>
      <c r="T8" s="146">
        <v>1.1331417624521074</v>
      </c>
      <c r="U8" s="146">
        <v>1.1149425287356323</v>
      </c>
      <c r="V8" s="146">
        <v>1.0871647509578544</v>
      </c>
      <c r="W8" s="146">
        <v>1.0593869731800765</v>
      </c>
      <c r="X8" s="146">
        <v>0.98467432950191558</v>
      </c>
      <c r="Y8" s="147">
        <v>0.4704918032786885</v>
      </c>
      <c r="Z8" s="147">
        <v>0.47088186356073214</v>
      </c>
      <c r="AA8" s="147">
        <v>0.47252747252747251</v>
      </c>
      <c r="AB8" s="147">
        <v>0.47422680412371132</v>
      </c>
      <c r="AC8" s="147">
        <v>0.4775330396475771</v>
      </c>
      <c r="AD8" s="147">
        <v>0.48101265822784817</v>
      </c>
      <c r="AE8" s="147">
        <v>0.49027237354085601</v>
      </c>
      <c r="AF8" s="148">
        <v>0.83333333333333337</v>
      </c>
      <c r="AG8" s="148">
        <v>0.84999999999999909</v>
      </c>
      <c r="AH8" s="148">
        <v>0.86666666666666703</v>
      </c>
      <c r="AI8" s="148">
        <v>0.88333333333333419</v>
      </c>
      <c r="AJ8" s="148">
        <v>0.89166666666666794</v>
      </c>
      <c r="AK8" s="148">
        <v>0.89999999999999969</v>
      </c>
      <c r="AL8" s="148">
        <v>0.94999999999999984</v>
      </c>
      <c r="AM8" s="138">
        <f>Y8*C8+($A$4-80)*AF8*$A$8/1000</f>
        <v>13.360344827586205</v>
      </c>
      <c r="AN8" s="138">
        <f>Z8*E8+($A$4-80)*AG8*$A$8/1000</f>
        <v>13.174137931034483</v>
      </c>
      <c r="AO8" s="138">
        <f>AA8*G8+($A$4-80)*AH8*$A$8/1000</f>
        <v>13.011206896551727</v>
      </c>
      <c r="AP8" s="138">
        <f>AB8*I8+($A$4-80)*AI8*$A$8/1000</f>
        <v>12.848275862068967</v>
      </c>
      <c r="AQ8" s="138">
        <f>AC8*K8+($A$4-80)*AJ8*$A$8/1000</f>
        <v>12.61551724137931</v>
      </c>
      <c r="AR8" s="138">
        <f>AD8*M8+($A$4-80)*AK8*$A$8/1000</f>
        <v>12.382758620689657</v>
      </c>
      <c r="AS8" s="138">
        <f>AE8*O8+($A$4-80)*AL8*$A$8/1000</f>
        <v>11.73103448275862</v>
      </c>
    </row>
    <row r="9" spans="1:45" x14ac:dyDescent="0.2">
      <c r="A9" s="169"/>
      <c r="B9" s="55">
        <v>69.5</v>
      </c>
      <c r="C9" s="56">
        <f t="shared" ref="C9:C19" si="7">R9*$M$14</f>
        <v>27.65172413793103</v>
      </c>
      <c r="D9" s="56">
        <f t="shared" si="0"/>
        <v>15.10603448275862</v>
      </c>
      <c r="E9" s="56">
        <f t="shared" ref="E9:E19" si="8">S9*$M$14</f>
        <v>27.139655172413789</v>
      </c>
      <c r="F9" s="56">
        <f t="shared" si="1"/>
        <v>14.943103448275862</v>
      </c>
      <c r="G9" s="56">
        <f t="shared" ref="G9:G19" si="9">T9*$M$14</f>
        <v>26.697413793103451</v>
      </c>
      <c r="H9" s="56">
        <f t="shared" si="2"/>
        <v>14.780172413793105</v>
      </c>
      <c r="I9" s="56">
        <f t="shared" ref="I9:I19" si="10">U9*$M$14</f>
        <v>26.255172413793105</v>
      </c>
      <c r="J9" s="56">
        <f t="shared" si="3"/>
        <v>14.617241379310345</v>
      </c>
      <c r="K9" s="56">
        <f t="shared" ref="K9:K19" si="11">V9*$M$14</f>
        <v>25.603448275862071</v>
      </c>
      <c r="L9" s="56">
        <f t="shared" si="4"/>
        <v>14.372844827586208</v>
      </c>
      <c r="M9" s="56">
        <f t="shared" ref="M9:M13" si="12">W9*$M$14</f>
        <v>24.951724137931031</v>
      </c>
      <c r="N9" s="56">
        <f t="shared" si="5"/>
        <v>14.128448275862068</v>
      </c>
      <c r="O9" s="56">
        <f t="shared" ref="O9:O19" si="13">X9*$M$14</f>
        <v>23.252586206896552</v>
      </c>
      <c r="P9" s="57">
        <f t="shared" si="6"/>
        <v>13.406896551724136</v>
      </c>
      <c r="R9" s="146">
        <v>1.1379310344827585</v>
      </c>
      <c r="S9" s="146">
        <v>1.1168582375478926</v>
      </c>
      <c r="T9" s="146">
        <v>1.0986590038314177</v>
      </c>
      <c r="U9" s="146">
        <v>1.0804597701149425</v>
      </c>
      <c r="V9" s="146">
        <v>1.053639846743295</v>
      </c>
      <c r="W9" s="146">
        <v>1.0268199233716473</v>
      </c>
      <c r="X9" s="146">
        <v>0.9568965517241379</v>
      </c>
      <c r="Y9" s="147">
        <v>0.54629629629629639</v>
      </c>
      <c r="Z9" s="147">
        <v>0.55060034305317329</v>
      </c>
      <c r="AA9" s="147">
        <v>0.55361813426329554</v>
      </c>
      <c r="AB9" s="147">
        <v>0.55673758865248224</v>
      </c>
      <c r="AC9" s="147">
        <v>0.5613636363636364</v>
      </c>
      <c r="AD9" s="147">
        <v>0.56623134328358216</v>
      </c>
      <c r="AE9" s="147">
        <v>0.57657657657657646</v>
      </c>
      <c r="AF9" s="148">
        <v>0.83333333333333337</v>
      </c>
      <c r="AG9" s="148">
        <v>0.84999999999999909</v>
      </c>
      <c r="AH9" s="148">
        <v>0.86666666666666703</v>
      </c>
      <c r="AI9" s="148">
        <v>0.88333333333333419</v>
      </c>
      <c r="AJ9" s="148">
        <v>0.89166666666666794</v>
      </c>
      <c r="AK9" s="148">
        <v>0.89999999999999969</v>
      </c>
      <c r="AL9" s="148">
        <v>0.94999999999999984</v>
      </c>
      <c r="AM9" s="138">
        <f>Y9*C9+($A$4-80)*AF9*$A$8/1000</f>
        <v>15.10603448275862</v>
      </c>
      <c r="AN9" s="138">
        <f>Z9*E9+($A$4-80)*AG9*$A$8/1000</f>
        <v>14.943103448275862</v>
      </c>
      <c r="AO9" s="138">
        <f>AA9*G9+($A$4-80)*AH9*$A$8/1000</f>
        <v>14.780172413793105</v>
      </c>
      <c r="AP9" s="138">
        <f>AB9*I9+($A$4-80)*AI9*$A$8/1000</f>
        <v>14.617241379310345</v>
      </c>
      <c r="AQ9" s="138">
        <f>AC9*K9+($A$4-80)*AJ9*$A$8/1000</f>
        <v>14.372844827586208</v>
      </c>
      <c r="AR9" s="138">
        <f>AD9*M9+($A$4-80)*AK9*$A$8/1000</f>
        <v>14.128448275862068</v>
      </c>
      <c r="AS9" s="138">
        <f>AE9*O9+($A$4-80)*AL9*$A$8/1000</f>
        <v>13.406896551724136</v>
      </c>
    </row>
    <row r="10" spans="1:45" x14ac:dyDescent="0.2">
      <c r="A10" s="169"/>
      <c r="B10" s="55">
        <v>67</v>
      </c>
      <c r="C10" s="56">
        <f t="shared" si="7"/>
        <v>26.906896551724135</v>
      </c>
      <c r="D10" s="58">
        <f t="shared" si="0"/>
        <v>16.851724137931033</v>
      </c>
      <c r="E10" s="56">
        <f t="shared" si="8"/>
        <v>26.301724137931036</v>
      </c>
      <c r="F10" s="58">
        <f t="shared" si="1"/>
        <v>16.71206896551724</v>
      </c>
      <c r="G10" s="56">
        <f t="shared" si="9"/>
        <v>25.85948275862069</v>
      </c>
      <c r="H10" s="56">
        <f t="shared" si="2"/>
        <v>16.549137931034483</v>
      </c>
      <c r="I10" s="56">
        <f t="shared" si="10"/>
        <v>25.417241379310344</v>
      </c>
      <c r="J10" s="56">
        <f t="shared" si="3"/>
        <v>16.386206896551723</v>
      </c>
      <c r="K10" s="56">
        <f t="shared" si="11"/>
        <v>24.788793103448274</v>
      </c>
      <c r="L10" s="58">
        <f t="shared" si="4"/>
        <v>16.130172413793105</v>
      </c>
      <c r="M10" s="56">
        <f t="shared" si="12"/>
        <v>24.160344827586208</v>
      </c>
      <c r="N10" s="58">
        <f t="shared" si="5"/>
        <v>15.874137931034486</v>
      </c>
      <c r="O10" s="56">
        <f t="shared" si="13"/>
        <v>22.577586206896552</v>
      </c>
      <c r="P10" s="59">
        <f t="shared" si="6"/>
        <v>15.082758620689654</v>
      </c>
      <c r="R10" s="146">
        <v>1.1072796934865898</v>
      </c>
      <c r="S10" s="146">
        <v>1.0823754789272031</v>
      </c>
      <c r="T10" s="146">
        <v>1.064176245210728</v>
      </c>
      <c r="U10" s="146">
        <v>1.0459770114942528</v>
      </c>
      <c r="V10" s="146">
        <v>1.0201149425287355</v>
      </c>
      <c r="W10" s="146">
        <v>0.99425287356321834</v>
      </c>
      <c r="X10" s="146">
        <v>0.92911877394636011</v>
      </c>
      <c r="Y10" s="147">
        <v>0.62629757785467133</v>
      </c>
      <c r="Z10" s="147">
        <v>0.6353982300884955</v>
      </c>
      <c r="AA10" s="147">
        <v>0.63996399639963997</v>
      </c>
      <c r="AB10" s="147">
        <v>0.64468864468864473</v>
      </c>
      <c r="AC10" s="147">
        <v>0.65070422535211281</v>
      </c>
      <c r="AD10" s="147">
        <v>0.65703275529865135</v>
      </c>
      <c r="AE10" s="147">
        <v>0.66804123711340202</v>
      </c>
      <c r="AF10" s="148">
        <v>0.83333333333333337</v>
      </c>
      <c r="AG10" s="148">
        <v>0.84999999999999909</v>
      </c>
      <c r="AH10" s="148">
        <v>0.86666666666666703</v>
      </c>
      <c r="AI10" s="148">
        <v>0.88333333333333419</v>
      </c>
      <c r="AJ10" s="148">
        <v>0.89166666666666794</v>
      </c>
      <c r="AK10" s="148">
        <v>0.89999999999999969</v>
      </c>
      <c r="AL10" s="148">
        <v>0.94999999999999984</v>
      </c>
      <c r="AM10" s="138">
        <f>Y10*C10+($A$4-80)*AF10*$A$8/1000</f>
        <v>16.851724137931033</v>
      </c>
      <c r="AN10" s="138">
        <f>Z10*E10+($A$4-80)*AG10*$A$8/1000</f>
        <v>16.71206896551724</v>
      </c>
      <c r="AO10" s="138">
        <f>AA10*G10+($A$4-80)*AH10*$A$8/1000</f>
        <v>16.549137931034483</v>
      </c>
      <c r="AP10" s="138">
        <f>AB10*I10+($A$4-80)*AI10*$A$8/1000</f>
        <v>16.386206896551723</v>
      </c>
      <c r="AQ10" s="138">
        <f>AC10*K10+($A$4-80)*AJ10*$A$8/1000</f>
        <v>16.130172413793105</v>
      </c>
      <c r="AR10" s="138">
        <f>AD10*M10+($A$4-80)*AK10*$A$8/1000</f>
        <v>15.874137931034486</v>
      </c>
      <c r="AS10" s="138">
        <f>AE10*O10+($A$4-80)*AL10*$A$8/1000</f>
        <v>15.082758620689654</v>
      </c>
    </row>
    <row r="11" spans="1:45" ht="13.5" thickBot="1" x14ac:dyDescent="0.25">
      <c r="A11" s="170"/>
      <c r="B11" s="60">
        <v>62</v>
      </c>
      <c r="C11" s="61">
        <f t="shared" si="7"/>
        <v>24.346551724137928</v>
      </c>
      <c r="D11" s="61">
        <f t="shared" si="0"/>
        <v>19.225862068965515</v>
      </c>
      <c r="E11" s="61">
        <f t="shared" si="8"/>
        <v>23.229310344827585</v>
      </c>
      <c r="F11" s="61">
        <f t="shared" si="1"/>
        <v>18.760344827586206</v>
      </c>
      <c r="G11" s="61">
        <f t="shared" si="9"/>
        <v>22.717241379310344</v>
      </c>
      <c r="H11" s="61">
        <f t="shared" si="2"/>
        <v>18.504310344827587</v>
      </c>
      <c r="I11" s="61">
        <f t="shared" si="10"/>
        <v>22.205172413793104</v>
      </c>
      <c r="J11" s="61">
        <f t="shared" si="3"/>
        <v>18.248275862068965</v>
      </c>
      <c r="K11" s="61">
        <f t="shared" si="11"/>
        <v>21.739655172413794</v>
      </c>
      <c r="L11" s="61">
        <f t="shared" si="4"/>
        <v>17.992241379310347</v>
      </c>
      <c r="M11" s="61">
        <f t="shared" si="12"/>
        <v>21.274137931034485</v>
      </c>
      <c r="N11" s="61">
        <f t="shared" si="5"/>
        <v>17.736206896551725</v>
      </c>
      <c r="O11" s="61">
        <f t="shared" si="13"/>
        <v>20.43620689655172</v>
      </c>
      <c r="P11" s="62">
        <f t="shared" si="6"/>
        <v>17.22413793103448</v>
      </c>
      <c r="R11" s="146">
        <v>1.0019157088122603</v>
      </c>
      <c r="S11" s="146">
        <v>0.95593869731800762</v>
      </c>
      <c r="T11" s="146">
        <v>0.93486590038314166</v>
      </c>
      <c r="U11" s="146">
        <v>0.91379310344827591</v>
      </c>
      <c r="V11" s="146">
        <v>0.8946360153256705</v>
      </c>
      <c r="W11" s="146">
        <v>0.87547892720306519</v>
      </c>
      <c r="X11" s="146">
        <v>0.84099616858237536</v>
      </c>
      <c r="Y11" s="147">
        <v>0.78967495219885275</v>
      </c>
      <c r="Z11" s="147">
        <v>0.80761523046092176</v>
      </c>
      <c r="AA11" s="147">
        <v>0.81454918032786894</v>
      </c>
      <c r="AB11" s="147">
        <v>0.82180293501048218</v>
      </c>
      <c r="AC11" s="147">
        <v>0.8276231263383298</v>
      </c>
      <c r="AD11" s="147">
        <v>0.83369803063457326</v>
      </c>
      <c r="AE11" s="147">
        <v>0.84282460136674264</v>
      </c>
      <c r="AF11" s="148">
        <v>0.83333333333333337</v>
      </c>
      <c r="AG11" s="148">
        <v>0.84999999999999909</v>
      </c>
      <c r="AH11" s="148">
        <v>0.86666666666666703</v>
      </c>
      <c r="AI11" s="148">
        <v>0.88333333333333419</v>
      </c>
      <c r="AJ11" s="148">
        <v>0.89166666666666794</v>
      </c>
      <c r="AK11" s="148">
        <v>0.89999999999999969</v>
      </c>
      <c r="AL11" s="148">
        <v>0.94999999999999984</v>
      </c>
      <c r="AM11" s="138">
        <f>Y11*C11+($A$4-80)*AF11*$A$8/1000</f>
        <v>19.225862068965515</v>
      </c>
      <c r="AN11" s="138">
        <f>Z11*E11+($A$4-80)*AG11*$A$8/1000</f>
        <v>18.760344827586206</v>
      </c>
      <c r="AO11" s="138">
        <f>AA11*G11+($A$4-80)*AH11*$A$8/1000</f>
        <v>18.504310344827587</v>
      </c>
      <c r="AP11" s="138">
        <f>AB11*I11+($A$4-80)*AI11*$A$8/1000</f>
        <v>18.248275862068965</v>
      </c>
      <c r="AQ11" s="138">
        <f>AC11*K11+($A$4-80)*AJ11*$A$8/1000</f>
        <v>17.992241379310347</v>
      </c>
      <c r="AR11" s="138">
        <f>AD11*M11+($A$4-80)*AK11*$A$8/1000</f>
        <v>17.736206896551725</v>
      </c>
      <c r="AS11" s="138">
        <f>AE11*O11+($A$4-80)*AL11*$A$8/1000</f>
        <v>17.22413793103448</v>
      </c>
    </row>
    <row r="12" spans="1:45" x14ac:dyDescent="0.2">
      <c r="A12" s="168">
        <v>1350</v>
      </c>
      <c r="B12" s="52">
        <v>72</v>
      </c>
      <c r="C12" s="53">
        <f t="shared" si="7"/>
        <v>28.582758620689653</v>
      </c>
      <c r="D12" s="53">
        <f t="shared" si="0"/>
        <v>13.732758620689653</v>
      </c>
      <c r="E12" s="53">
        <f t="shared" si="8"/>
        <v>28.396551724137929</v>
      </c>
      <c r="F12" s="53">
        <f t="shared" si="1"/>
        <v>13.639655172413793</v>
      </c>
      <c r="G12" s="53">
        <f t="shared" si="9"/>
        <v>28.024137931034481</v>
      </c>
      <c r="H12" s="53">
        <f t="shared" si="2"/>
        <v>13.523275862068964</v>
      </c>
      <c r="I12" s="53">
        <f t="shared" si="10"/>
        <v>27.65172413793103</v>
      </c>
      <c r="J12" s="53">
        <f t="shared" si="3"/>
        <v>13.406896551724136</v>
      </c>
      <c r="K12" s="53">
        <f t="shared" si="11"/>
        <v>26.976724137931033</v>
      </c>
      <c r="L12" s="53">
        <f t="shared" si="4"/>
        <v>13.174137931034481</v>
      </c>
      <c r="M12" s="53">
        <f t="shared" si="12"/>
        <v>26.301724137931036</v>
      </c>
      <c r="N12" s="53">
        <f t="shared" si="5"/>
        <v>12.941379310344828</v>
      </c>
      <c r="O12" s="53">
        <f t="shared" si="13"/>
        <v>24.393103448275859</v>
      </c>
      <c r="P12" s="54">
        <f t="shared" si="6"/>
        <v>12.243103448275861</v>
      </c>
      <c r="R12" s="146">
        <v>1.1762452107279693</v>
      </c>
      <c r="S12" s="146">
        <v>1.1685823754789271</v>
      </c>
      <c r="T12" s="146">
        <v>1.1532567049808429</v>
      </c>
      <c r="U12" s="146">
        <v>1.1379310344827585</v>
      </c>
      <c r="V12" s="146">
        <v>1.1101532567049808</v>
      </c>
      <c r="W12" s="146">
        <v>1.0823754789272031</v>
      </c>
      <c r="X12" s="146">
        <v>1.0038314176245209</v>
      </c>
      <c r="Y12" s="147">
        <v>0.48045602605863191</v>
      </c>
      <c r="Z12" s="147">
        <v>0.48032786885245904</v>
      </c>
      <c r="AA12" s="147">
        <v>0.48255813953488369</v>
      </c>
      <c r="AB12" s="147">
        <v>0.48484848484848486</v>
      </c>
      <c r="AC12" s="147">
        <v>0.48835202761000862</v>
      </c>
      <c r="AD12" s="147">
        <v>0.49203539823008852</v>
      </c>
      <c r="AE12" s="147">
        <v>0.50190839694656486</v>
      </c>
      <c r="AF12" s="148">
        <v>0.87407407407407389</v>
      </c>
      <c r="AG12" s="148">
        <v>0.87407407407407389</v>
      </c>
      <c r="AH12" s="148">
        <v>0.88148148148148076</v>
      </c>
      <c r="AI12" s="148">
        <v>0.88888888888888884</v>
      </c>
      <c r="AJ12" s="148">
        <v>0.88888888888888884</v>
      </c>
      <c r="AK12" s="148">
        <v>0.88888888888888884</v>
      </c>
      <c r="AL12" s="148">
        <v>0.88888888888888884</v>
      </c>
      <c r="AM12" s="138">
        <f>Y12*C12+($A$4-80)*AF12*$A$12/1000</f>
        <v>13.732758620689653</v>
      </c>
      <c r="AN12" s="138">
        <f>Z12*E12+($A$4-80)*AG12*$A$12/1000</f>
        <v>13.639655172413793</v>
      </c>
      <c r="AO12" s="138">
        <f>AA12*G12+($A$4-80)*AH12*$A$12/1000</f>
        <v>13.523275862068964</v>
      </c>
      <c r="AP12" s="138">
        <f>AB12*I12+($A$4-80)*AI12*$A$12/1000</f>
        <v>13.406896551724136</v>
      </c>
      <c r="AQ12" s="138">
        <f>AC12*K12+($A$4-80)*AJ12*$A$12/1000</f>
        <v>13.174137931034481</v>
      </c>
      <c r="AR12" s="138">
        <f>AD12*M12+($A$4-80)*AK12*$A$12/1000</f>
        <v>12.941379310344828</v>
      </c>
      <c r="AS12" s="138">
        <f>AE12*O12+($A$4-80)*AL12*$A$12/1000</f>
        <v>12.243103448275861</v>
      </c>
    </row>
    <row r="13" spans="1:45" x14ac:dyDescent="0.2">
      <c r="A13" s="169"/>
      <c r="B13" s="55">
        <v>69.5</v>
      </c>
      <c r="C13" s="56">
        <f t="shared" si="7"/>
        <v>27.768103448275863</v>
      </c>
      <c r="D13" s="56">
        <f t="shared" si="0"/>
        <v>15.501724137931035</v>
      </c>
      <c r="E13" s="56">
        <f t="shared" si="8"/>
        <v>27.395689655172415</v>
      </c>
      <c r="F13" s="56">
        <f t="shared" si="1"/>
        <v>15.408620689655173</v>
      </c>
      <c r="G13" s="56">
        <f t="shared" si="9"/>
        <v>26.988362068965518</v>
      </c>
      <c r="H13" s="56">
        <f t="shared" si="2"/>
        <v>15.28060344827586</v>
      </c>
      <c r="I13" s="56">
        <f t="shared" si="10"/>
        <v>26.581034482758618</v>
      </c>
      <c r="J13" s="56">
        <f t="shared" si="3"/>
        <v>15.152586206896551</v>
      </c>
      <c r="K13" s="56">
        <f t="shared" si="11"/>
        <v>25.94094827586207</v>
      </c>
      <c r="L13" s="56">
        <f t="shared" si="4"/>
        <v>14.896551724137931</v>
      </c>
      <c r="M13" s="56">
        <f t="shared" si="12"/>
        <v>25.300862068965518</v>
      </c>
      <c r="N13" s="56">
        <f t="shared" si="5"/>
        <v>14.64051724137931</v>
      </c>
      <c r="O13" s="56">
        <f t="shared" si="13"/>
        <v>23.578448275862069</v>
      </c>
      <c r="P13" s="57">
        <f t="shared" si="6"/>
        <v>13.918965517241379</v>
      </c>
      <c r="R13" s="146">
        <v>1.1427203065134099</v>
      </c>
      <c r="S13" s="146">
        <v>1.1273946360153257</v>
      </c>
      <c r="T13" s="146">
        <v>1.110632183908046</v>
      </c>
      <c r="U13" s="146">
        <v>1.0938697318007662</v>
      </c>
      <c r="V13" s="146">
        <v>1.0675287356321839</v>
      </c>
      <c r="W13" s="146">
        <v>1.0411877394636015</v>
      </c>
      <c r="X13" s="146">
        <v>0.97030651340996166</v>
      </c>
      <c r="Y13" s="147">
        <v>0.55825649622799667</v>
      </c>
      <c r="Z13" s="147">
        <v>0.56244689889549704</v>
      </c>
      <c r="AA13" s="147">
        <v>0.56619232427770583</v>
      </c>
      <c r="AB13" s="147">
        <v>0.57005253940455347</v>
      </c>
      <c r="AC13" s="147">
        <v>0.57424854194706143</v>
      </c>
      <c r="AD13" s="147">
        <v>0.57865685372585096</v>
      </c>
      <c r="AE13" s="147">
        <v>0.59032576505429413</v>
      </c>
      <c r="AF13" s="148">
        <v>0.87407407407407389</v>
      </c>
      <c r="AG13" s="148">
        <v>0.87407407407407389</v>
      </c>
      <c r="AH13" s="148">
        <v>0.88148148148148076</v>
      </c>
      <c r="AI13" s="148">
        <v>0.88888888888888884</v>
      </c>
      <c r="AJ13" s="148">
        <v>0.88888888888888884</v>
      </c>
      <c r="AK13" s="148">
        <v>0.88888888888888884</v>
      </c>
      <c r="AL13" s="148">
        <v>0.88888888888888884</v>
      </c>
      <c r="AM13" s="138">
        <f>Y13*C13+($A$4-80)*AF13*$A$12/1000</f>
        <v>15.501724137931035</v>
      </c>
      <c r="AN13" s="138">
        <f>Z13*E13+($A$4-80)*AG13*$A$12/1000</f>
        <v>15.408620689655173</v>
      </c>
      <c r="AO13" s="138">
        <f>AA13*G13+($A$4-80)*AH13*$A$12/1000</f>
        <v>15.28060344827586</v>
      </c>
      <c r="AP13" s="138">
        <f>AB13*I13+($A$4-80)*AI13*$A$12/1000</f>
        <v>15.152586206896551</v>
      </c>
      <c r="AQ13" s="138">
        <f>AC13*K13+($A$4-80)*AJ13*$A$12/1000</f>
        <v>14.896551724137931</v>
      </c>
      <c r="AR13" s="138">
        <f>AD13*M13+($A$4-80)*AK13*$A$12/1000</f>
        <v>14.64051724137931</v>
      </c>
      <c r="AS13" s="138">
        <f>AE13*O13+($A$4-80)*AL13*$A$12/1000</f>
        <v>13.918965517241379</v>
      </c>
    </row>
    <row r="14" spans="1:45" x14ac:dyDescent="0.2">
      <c r="A14" s="169"/>
      <c r="B14" s="55">
        <v>67</v>
      </c>
      <c r="C14" s="56">
        <f t="shared" si="7"/>
        <v>26.953448275862065</v>
      </c>
      <c r="D14" s="58">
        <f t="shared" si="0"/>
        <v>17.270689655172415</v>
      </c>
      <c r="E14" s="56">
        <f t="shared" si="8"/>
        <v>26.394827586206898</v>
      </c>
      <c r="F14" s="58">
        <f t="shared" si="1"/>
        <v>17.177586206896549</v>
      </c>
      <c r="G14" s="56">
        <f t="shared" si="9"/>
        <v>25.952586206896552</v>
      </c>
      <c r="H14" s="56">
        <f t="shared" si="2"/>
        <v>17.037931034482753</v>
      </c>
      <c r="I14" s="139">
        <f t="shared" si="10"/>
        <v>25.510344827586206</v>
      </c>
      <c r="J14" s="56">
        <f t="shared" si="3"/>
        <v>16.898275862068964</v>
      </c>
      <c r="K14" s="56">
        <f t="shared" si="11"/>
        <v>24.905172413793103</v>
      </c>
      <c r="L14" s="58">
        <f t="shared" si="4"/>
        <v>16.618965517241378</v>
      </c>
      <c r="M14" s="56">
        <v>24.3</v>
      </c>
      <c r="N14" s="58">
        <f t="shared" si="5"/>
        <v>16.339655172413792</v>
      </c>
      <c r="O14" s="56">
        <f t="shared" si="13"/>
        <v>22.763793103448275</v>
      </c>
      <c r="P14" s="59">
        <f t="shared" si="6"/>
        <v>15.594827586206895</v>
      </c>
      <c r="R14" s="146">
        <v>1.1091954022988504</v>
      </c>
      <c r="S14" s="146">
        <v>1.0862068965517242</v>
      </c>
      <c r="T14" s="146">
        <v>1.0680076628352491</v>
      </c>
      <c r="U14" s="146">
        <v>1.0498084291187739</v>
      </c>
      <c r="V14" s="146">
        <v>1.024904214559387</v>
      </c>
      <c r="W14" s="146">
        <v>1</v>
      </c>
      <c r="X14" s="146">
        <v>0.93678160919540221</v>
      </c>
      <c r="Y14" s="147">
        <v>0.64075993091537142</v>
      </c>
      <c r="Z14" s="147">
        <v>0.6507936507936507</v>
      </c>
      <c r="AA14" s="147">
        <v>0.65650224215246622</v>
      </c>
      <c r="AB14" s="147">
        <v>0.66240875912408759</v>
      </c>
      <c r="AC14" s="147">
        <v>0.66728971962616823</v>
      </c>
      <c r="AD14" s="147">
        <v>0.67241379310344829</v>
      </c>
      <c r="AE14" s="147">
        <v>0.68507157464212676</v>
      </c>
      <c r="AF14" s="148">
        <v>0.87407407407407389</v>
      </c>
      <c r="AG14" s="148">
        <v>0.87407407407407389</v>
      </c>
      <c r="AH14" s="148">
        <v>0.88148148148148076</v>
      </c>
      <c r="AI14" s="148">
        <v>0.88888888888888884</v>
      </c>
      <c r="AJ14" s="148">
        <v>0.88888888888888884</v>
      </c>
      <c r="AK14" s="148">
        <v>0.88888888888888884</v>
      </c>
      <c r="AL14" s="148">
        <v>0.88888888888888884</v>
      </c>
      <c r="AM14" s="138">
        <f>Y14*C14+($A$4-80)*AF14*$A$12/1000</f>
        <v>17.270689655172415</v>
      </c>
      <c r="AN14" s="138">
        <f>Z14*E14+($A$4-80)*AG14*$A$12/1000</f>
        <v>17.177586206896549</v>
      </c>
      <c r="AO14" s="138">
        <f>AA14*G14+($A$4-80)*AH14*$A$12/1000</f>
        <v>17.037931034482753</v>
      </c>
      <c r="AP14" s="138">
        <f>AB14*I14+($A$4-80)*AI14*$A$12/1000</f>
        <v>16.898275862068964</v>
      </c>
      <c r="AQ14" s="138">
        <f>AC14*K14+($A$4-80)*AJ14*$A$12/1000</f>
        <v>16.618965517241378</v>
      </c>
      <c r="AR14" s="138">
        <f>AD14*M14+($A$4-80)*AK14*$A$12/1000</f>
        <v>16.339655172413792</v>
      </c>
      <c r="AS14" s="138">
        <f>AE14*O14+($A$4-80)*AL14*$A$12/1000</f>
        <v>15.594827586206895</v>
      </c>
    </row>
    <row r="15" spans="1:45" ht="13.5" thickBot="1" x14ac:dyDescent="0.25">
      <c r="A15" s="170"/>
      <c r="B15" s="60">
        <v>62</v>
      </c>
      <c r="C15" s="61">
        <f t="shared" si="7"/>
        <v>25.091379310344823</v>
      </c>
      <c r="D15" s="61">
        <f t="shared" si="0"/>
        <v>20.529310344827586</v>
      </c>
      <c r="E15" s="61">
        <f t="shared" si="8"/>
        <v>24.020689655172415</v>
      </c>
      <c r="F15" s="61">
        <f t="shared" si="1"/>
        <v>20.017241379310345</v>
      </c>
      <c r="G15" s="61">
        <f t="shared" si="9"/>
        <v>23.462068965517243</v>
      </c>
      <c r="H15" s="61">
        <f t="shared" si="2"/>
        <v>19.737931034482759</v>
      </c>
      <c r="I15" s="61">
        <f t="shared" si="10"/>
        <v>22.903448275862068</v>
      </c>
      <c r="J15" s="61">
        <f t="shared" si="3"/>
        <v>19.45862068965517</v>
      </c>
      <c r="K15" s="61">
        <f t="shared" si="11"/>
        <v>22.344827586206897</v>
      </c>
      <c r="L15" s="61">
        <f t="shared" si="4"/>
        <v>19.156034482758621</v>
      </c>
      <c r="M15" s="61">
        <f t="shared" ref="M15:M19" si="14">W15*$M$14</f>
        <v>21.786206896551722</v>
      </c>
      <c r="N15" s="61">
        <f t="shared" si="5"/>
        <v>18.853448275862068</v>
      </c>
      <c r="O15" s="61">
        <f t="shared" si="13"/>
        <v>20.622413793103448</v>
      </c>
      <c r="P15" s="62">
        <f t="shared" si="6"/>
        <v>18.201724137931034</v>
      </c>
      <c r="R15" s="146">
        <v>1.0325670498084289</v>
      </c>
      <c r="S15" s="146">
        <v>0.9885057471264368</v>
      </c>
      <c r="T15" s="146">
        <v>0.96551724137931039</v>
      </c>
      <c r="U15" s="146">
        <v>0.94252873563218387</v>
      </c>
      <c r="V15" s="146">
        <v>0.91954022988505746</v>
      </c>
      <c r="W15" s="146">
        <v>0.89655172413793094</v>
      </c>
      <c r="X15" s="146">
        <v>0.84865900383141757</v>
      </c>
      <c r="Y15" s="147">
        <v>0.81818181818181823</v>
      </c>
      <c r="Z15" s="147">
        <v>0.83333333333333326</v>
      </c>
      <c r="AA15" s="147">
        <v>0.84126984126984117</v>
      </c>
      <c r="AB15" s="147">
        <v>0.84959349593495925</v>
      </c>
      <c r="AC15" s="147">
        <v>0.85729166666666667</v>
      </c>
      <c r="AD15" s="147">
        <v>0.86538461538461542</v>
      </c>
      <c r="AE15" s="147">
        <v>0.88261851015801362</v>
      </c>
      <c r="AF15" s="148">
        <v>0.87407407407407389</v>
      </c>
      <c r="AG15" s="148">
        <v>0.87407407407407389</v>
      </c>
      <c r="AH15" s="148">
        <v>0.88148148148148076</v>
      </c>
      <c r="AI15" s="148">
        <v>0.88888888888888884</v>
      </c>
      <c r="AJ15" s="148">
        <v>0.88888888888888884</v>
      </c>
      <c r="AK15" s="148">
        <v>0.88888888888888884</v>
      </c>
      <c r="AL15" s="148">
        <v>0.88888888888888884</v>
      </c>
      <c r="AM15" s="138">
        <f>Y15*C15+($A$4-80)*AF15*$A$12/1000</f>
        <v>20.529310344827586</v>
      </c>
      <c r="AN15" s="138">
        <f>Z15*E15+($A$4-80)*AG15*$A$12/1000</f>
        <v>20.017241379310345</v>
      </c>
      <c r="AO15" s="138">
        <f>AA15*G15+($A$4-80)*AH15*$A$12/1000</f>
        <v>19.737931034482759</v>
      </c>
      <c r="AP15" s="138">
        <f>AB15*I15+($A$4-80)*AI15*$A$12/1000</f>
        <v>19.45862068965517</v>
      </c>
      <c r="AQ15" s="138">
        <f>AC15*K15+($A$4-80)*AJ15*$A$12/1000</f>
        <v>19.156034482758621</v>
      </c>
      <c r="AR15" s="138">
        <f>AD15*M15+($A$4-80)*AK15*$A$12/1000</f>
        <v>18.853448275862068</v>
      </c>
      <c r="AS15" s="138">
        <f>AE15*O15+($A$4-80)*AL15*$A$12/1000</f>
        <v>18.201724137931034</v>
      </c>
    </row>
    <row r="16" spans="1:45" x14ac:dyDescent="0.2">
      <c r="A16" s="168">
        <v>1500</v>
      </c>
      <c r="B16" s="52">
        <v>72</v>
      </c>
      <c r="C16" s="53">
        <f t="shared" si="7"/>
        <v>28.768965517241373</v>
      </c>
      <c r="D16" s="53">
        <f t="shared" si="0"/>
        <v>14.105172413793102</v>
      </c>
      <c r="E16" s="53">
        <f t="shared" si="8"/>
        <v>28.815517241379311</v>
      </c>
      <c r="F16" s="53">
        <f t="shared" si="1"/>
        <v>14.198275862068966</v>
      </c>
      <c r="G16" s="53">
        <f t="shared" si="9"/>
        <v>28.489655172413791</v>
      </c>
      <c r="H16" s="53">
        <f t="shared" si="2"/>
        <v>14.105172413793101</v>
      </c>
      <c r="I16" s="53">
        <f t="shared" si="10"/>
        <v>28.163793103448278</v>
      </c>
      <c r="J16" s="53">
        <f t="shared" si="3"/>
        <v>14.012068965517242</v>
      </c>
      <c r="K16" s="53">
        <f t="shared" si="11"/>
        <v>27.512068965517241</v>
      </c>
      <c r="L16" s="53">
        <f t="shared" si="4"/>
        <v>13.75603448275862</v>
      </c>
      <c r="M16" s="53">
        <f t="shared" si="14"/>
        <v>26.860344827586207</v>
      </c>
      <c r="N16" s="53">
        <f t="shared" si="5"/>
        <v>13.5</v>
      </c>
      <c r="O16" s="53">
        <f t="shared" si="13"/>
        <v>24.812068965517241</v>
      </c>
      <c r="P16" s="54">
        <f t="shared" si="6"/>
        <v>12.708620689655172</v>
      </c>
      <c r="R16" s="146">
        <v>1.1839080459770113</v>
      </c>
      <c r="S16" s="146">
        <v>1.185823754789272</v>
      </c>
      <c r="T16" s="146">
        <v>1.1724137931034482</v>
      </c>
      <c r="U16" s="146">
        <v>1.1590038314176245</v>
      </c>
      <c r="V16" s="146">
        <v>1.132183908045977</v>
      </c>
      <c r="W16" s="146">
        <v>1.1053639846743295</v>
      </c>
      <c r="X16" s="146">
        <v>1.0210727969348659</v>
      </c>
      <c r="Y16" s="147">
        <v>0.49029126213592239</v>
      </c>
      <c r="Z16" s="147">
        <v>0.49273021001615508</v>
      </c>
      <c r="AA16" s="147">
        <v>0.49509803921568624</v>
      </c>
      <c r="AB16" s="147">
        <v>0.49752066115702481</v>
      </c>
      <c r="AC16" s="147">
        <v>0.5</v>
      </c>
      <c r="AD16" s="147">
        <v>0.50259965337954937</v>
      </c>
      <c r="AE16" s="147">
        <v>0.51219512195121952</v>
      </c>
      <c r="AF16" s="148">
        <v>0.89333333333333276</v>
      </c>
      <c r="AG16" s="148">
        <v>0.90666666666666629</v>
      </c>
      <c r="AH16" s="148">
        <v>0.90666666666666629</v>
      </c>
      <c r="AI16" s="148">
        <v>0.90666666666666629</v>
      </c>
      <c r="AJ16" s="148">
        <v>0.89333333333333365</v>
      </c>
      <c r="AK16" s="148">
        <v>0.88000000000000012</v>
      </c>
      <c r="AL16" s="148">
        <v>0.81333333333333346</v>
      </c>
      <c r="AM16" s="138">
        <f>Y16*C16+($A$4-80)*AF16*$A$16/1000</f>
        <v>14.105172413793102</v>
      </c>
      <c r="AN16" s="138">
        <f>Z16*E16+($A$4-80)*AG16*$A$16/1000</f>
        <v>14.198275862068966</v>
      </c>
      <c r="AO16" s="138">
        <f>AA16*G16+($A$4-80)*AH16*$A$16/1000</f>
        <v>14.105172413793101</v>
      </c>
      <c r="AP16" s="138">
        <f>AB16*I16+($A$4-80)*AI16*$A$16/1000</f>
        <v>14.012068965517242</v>
      </c>
      <c r="AQ16" s="138">
        <f>AC16*K16+($A$4-80)*AJ16*$A$16/1000</f>
        <v>13.75603448275862</v>
      </c>
      <c r="AR16" s="138">
        <f>AD16*M16+($A$4-80)*AK16*$A$16/1000</f>
        <v>13.5</v>
      </c>
      <c r="AS16" s="138">
        <f>AE16*O16+($A$4-80)*AL16*$A$16/1000</f>
        <v>12.708620689655172</v>
      </c>
    </row>
    <row r="17" spans="1:45" x14ac:dyDescent="0.2">
      <c r="A17" s="169"/>
      <c r="B17" s="55">
        <v>69.5</v>
      </c>
      <c r="C17" s="56">
        <f t="shared" si="7"/>
        <v>27.907758620689656</v>
      </c>
      <c r="D17" s="56">
        <f t="shared" si="0"/>
        <v>15.920689655172414</v>
      </c>
      <c r="E17" s="56">
        <f t="shared" si="8"/>
        <v>27.675000000000001</v>
      </c>
      <c r="F17" s="56">
        <f t="shared" si="1"/>
        <v>15.920689655172415</v>
      </c>
      <c r="G17" s="56">
        <f t="shared" si="9"/>
        <v>27.290948275862068</v>
      </c>
      <c r="H17" s="56">
        <f t="shared" si="2"/>
        <v>15.804310344827583</v>
      </c>
      <c r="I17" s="56">
        <f t="shared" si="10"/>
        <v>26.906896551724135</v>
      </c>
      <c r="J17" s="56">
        <f t="shared" si="3"/>
        <v>15.687931034482759</v>
      </c>
      <c r="K17" s="56">
        <f t="shared" si="11"/>
        <v>26.278448275862068</v>
      </c>
      <c r="L17" s="56">
        <f t="shared" si="4"/>
        <v>15.431896551724137</v>
      </c>
      <c r="M17" s="56">
        <f t="shared" si="14"/>
        <v>25.650000000000002</v>
      </c>
      <c r="N17" s="56">
        <f t="shared" si="5"/>
        <v>15.175862068965518</v>
      </c>
      <c r="O17" s="56">
        <f t="shared" si="13"/>
        <v>23.881034482758619</v>
      </c>
      <c r="P17" s="57">
        <f t="shared" si="6"/>
        <v>14.384482758620688</v>
      </c>
      <c r="R17" s="146">
        <v>1.1484674329501916</v>
      </c>
      <c r="S17" s="146">
        <v>1.1388888888888888</v>
      </c>
      <c r="T17" s="146">
        <v>1.1230842911877394</v>
      </c>
      <c r="U17" s="146">
        <v>1.1072796934865898</v>
      </c>
      <c r="V17" s="146">
        <v>1.0814176245210727</v>
      </c>
      <c r="W17" s="146">
        <v>1.0555555555555556</v>
      </c>
      <c r="X17" s="146">
        <v>0.98275862068965503</v>
      </c>
      <c r="Y17" s="147">
        <v>0.57047539616346954</v>
      </c>
      <c r="Z17" s="147">
        <v>0.57527333894028598</v>
      </c>
      <c r="AA17" s="147">
        <v>0.57910447761194017</v>
      </c>
      <c r="AB17" s="147">
        <v>0.58304498269896199</v>
      </c>
      <c r="AC17" s="147">
        <v>0.58724534986713905</v>
      </c>
      <c r="AD17" s="147">
        <v>0.59165154264972775</v>
      </c>
      <c r="AE17" s="147">
        <v>0.60233918128654973</v>
      </c>
      <c r="AF17" s="148">
        <v>0.89333333333333276</v>
      </c>
      <c r="AG17" s="148">
        <v>0.90666666666666629</v>
      </c>
      <c r="AH17" s="148">
        <v>0.90666666666666629</v>
      </c>
      <c r="AI17" s="148">
        <v>0.90666666666666629</v>
      </c>
      <c r="AJ17" s="148">
        <v>0.89333333333333365</v>
      </c>
      <c r="AK17" s="148">
        <v>0.88000000000000012</v>
      </c>
      <c r="AL17" s="148">
        <v>0.81333333333333346</v>
      </c>
      <c r="AM17" s="138">
        <f>Y17*C17+($A$4-80)*AF17*$A$16/1000</f>
        <v>15.920689655172414</v>
      </c>
      <c r="AN17" s="138">
        <f>Z17*E17+($A$4-80)*AG17*$A$16/1000</f>
        <v>15.920689655172415</v>
      </c>
      <c r="AO17" s="138">
        <f>AA17*G17+($A$4-80)*AH17*$A$16/1000</f>
        <v>15.804310344827583</v>
      </c>
      <c r="AP17" s="138">
        <f>AB17*I17+($A$4-80)*AI17*$A$16/1000</f>
        <v>15.687931034482759</v>
      </c>
      <c r="AQ17" s="138">
        <f>AC17*K17+($A$4-80)*AJ17*$A$16/1000</f>
        <v>15.431896551724137</v>
      </c>
      <c r="AR17" s="138">
        <f>AD17*M17+($A$4-80)*AK17*$A$16/1000</f>
        <v>15.175862068965518</v>
      </c>
      <c r="AS17" s="138">
        <f>AE17*O17+($A$4-80)*AL17*$A$16/1000</f>
        <v>14.384482758620688</v>
      </c>
    </row>
    <row r="18" spans="1:45" x14ac:dyDescent="0.2">
      <c r="A18" s="169"/>
      <c r="B18" s="55">
        <v>67</v>
      </c>
      <c r="C18" s="56">
        <f t="shared" si="7"/>
        <v>27.046551724137935</v>
      </c>
      <c r="D18" s="58">
        <f t="shared" si="0"/>
        <v>17.736206896551728</v>
      </c>
      <c r="E18" s="56">
        <f t="shared" si="8"/>
        <v>26.534482758620687</v>
      </c>
      <c r="F18" s="58">
        <f t="shared" si="1"/>
        <v>17.643103448275859</v>
      </c>
      <c r="G18" s="56">
        <f t="shared" si="9"/>
        <v>26.092241379310341</v>
      </c>
      <c r="H18" s="56">
        <f t="shared" si="2"/>
        <v>17.503448275862063</v>
      </c>
      <c r="I18" s="56">
        <f t="shared" si="10"/>
        <v>25.650000000000002</v>
      </c>
      <c r="J18" s="56">
        <f t="shared" si="3"/>
        <v>17.363793103448277</v>
      </c>
      <c r="K18" s="56">
        <f t="shared" si="11"/>
        <v>25.044827586206893</v>
      </c>
      <c r="L18" s="58">
        <f t="shared" si="4"/>
        <v>17.107758620689651</v>
      </c>
      <c r="M18" s="56">
        <f t="shared" si="14"/>
        <v>24.439655172413794</v>
      </c>
      <c r="N18" s="58">
        <f t="shared" si="5"/>
        <v>16.851724137931036</v>
      </c>
      <c r="O18" s="56">
        <f t="shared" si="13"/>
        <v>22.949999999999996</v>
      </c>
      <c r="P18" s="59">
        <f t="shared" si="6"/>
        <v>16.060344827586206</v>
      </c>
      <c r="R18" s="146">
        <v>1.1130268199233717</v>
      </c>
      <c r="S18" s="146">
        <v>1.0919540229885056</v>
      </c>
      <c r="T18" s="146">
        <v>1.0737547892720305</v>
      </c>
      <c r="U18" s="146">
        <v>1.0555555555555556</v>
      </c>
      <c r="V18" s="146">
        <v>1.0306513409961684</v>
      </c>
      <c r="W18" s="146">
        <v>1.0057471264367817</v>
      </c>
      <c r="X18" s="146">
        <v>0.94444444444444431</v>
      </c>
      <c r="Y18" s="147">
        <v>0.65576592082616181</v>
      </c>
      <c r="Z18" s="147">
        <v>0.66491228070175434</v>
      </c>
      <c r="AA18" s="147">
        <v>0.67082961641391603</v>
      </c>
      <c r="AB18" s="147">
        <v>0.67695099818511795</v>
      </c>
      <c r="AC18" s="147">
        <v>0.68308550185873607</v>
      </c>
      <c r="AD18" s="147">
        <v>0.68952380952380954</v>
      </c>
      <c r="AE18" s="147">
        <v>0.69979716024340777</v>
      </c>
      <c r="AF18" s="148">
        <v>0.89333333333333276</v>
      </c>
      <c r="AG18" s="148">
        <v>0.90666666666666629</v>
      </c>
      <c r="AH18" s="148">
        <v>0.90666666666666629</v>
      </c>
      <c r="AI18" s="148">
        <v>0.90666666666666629</v>
      </c>
      <c r="AJ18" s="148">
        <v>0.89333333333333365</v>
      </c>
      <c r="AK18" s="148">
        <v>0.88000000000000012</v>
      </c>
      <c r="AL18" s="148">
        <v>0.81333333333333346</v>
      </c>
      <c r="AM18" s="138">
        <f>Y18*C18+($A$4-80)*AF18*$A$16/1000</f>
        <v>17.736206896551728</v>
      </c>
      <c r="AN18" s="138">
        <f>Z18*E18+($A$4-80)*AG18*$A$16/1000</f>
        <v>17.643103448275859</v>
      </c>
      <c r="AO18" s="138">
        <f>AA18*G18+($A$4-80)*AH18*$A$16/1000</f>
        <v>17.503448275862063</v>
      </c>
      <c r="AP18" s="138">
        <f>AB18*I18+($A$4-80)*AI18*$A$16/1000</f>
        <v>17.363793103448277</v>
      </c>
      <c r="AQ18" s="138">
        <f>AC18*K18+($A$4-80)*AJ18*$A$16/1000</f>
        <v>17.107758620689651</v>
      </c>
      <c r="AR18" s="138">
        <f>AD18*M18+($A$4-80)*AK18*$A$16/1000</f>
        <v>16.851724137931036</v>
      </c>
      <c r="AS18" s="138">
        <f>AE18*O18+($A$4-80)*AL18*$A$16/1000</f>
        <v>16.060344827586206</v>
      </c>
    </row>
    <row r="19" spans="1:45" ht="13.5" thickBot="1" x14ac:dyDescent="0.25">
      <c r="A19" s="170"/>
      <c r="B19" s="60">
        <v>62</v>
      </c>
      <c r="C19" s="61">
        <f t="shared" si="7"/>
        <v>25.836206896551722</v>
      </c>
      <c r="D19" s="61">
        <f t="shared" si="0"/>
        <v>21.832758620689656</v>
      </c>
      <c r="E19" s="61">
        <f t="shared" si="8"/>
        <v>24.76551724137931</v>
      </c>
      <c r="F19" s="61">
        <f t="shared" si="1"/>
        <v>21.320689655172412</v>
      </c>
      <c r="G19" s="61">
        <f t="shared" si="9"/>
        <v>24.160344827586208</v>
      </c>
      <c r="H19" s="61">
        <f t="shared" si="2"/>
        <v>21.018103448275863</v>
      </c>
      <c r="I19" s="61">
        <f t="shared" si="10"/>
        <v>23.555172413793102</v>
      </c>
      <c r="J19" s="61">
        <f t="shared" si="3"/>
        <v>20.71551724137931</v>
      </c>
      <c r="K19" s="61">
        <f t="shared" si="11"/>
        <v>22.903448275862068</v>
      </c>
      <c r="L19" s="61">
        <f t="shared" si="4"/>
        <v>20.366379310344826</v>
      </c>
      <c r="M19" s="61">
        <f t="shared" si="14"/>
        <v>22.251724137931031</v>
      </c>
      <c r="N19" s="61">
        <f t="shared" si="5"/>
        <v>20.017241379310345</v>
      </c>
      <c r="O19" s="61">
        <f t="shared" si="13"/>
        <v>20.855172413793102</v>
      </c>
      <c r="P19" s="62">
        <f t="shared" si="6"/>
        <v>19.132758620689657</v>
      </c>
      <c r="R19" s="146">
        <v>1.0632183908045976</v>
      </c>
      <c r="S19" s="146">
        <v>1.0191570881226053</v>
      </c>
      <c r="T19" s="146">
        <v>0.99425287356321845</v>
      </c>
      <c r="U19" s="146">
        <v>0.96934865900383138</v>
      </c>
      <c r="V19" s="146">
        <v>0.94252873563218387</v>
      </c>
      <c r="W19" s="146">
        <v>0.91570881226053624</v>
      </c>
      <c r="X19" s="146">
        <v>0.85823754789272022</v>
      </c>
      <c r="Y19" s="147">
        <v>0.84504504504504507</v>
      </c>
      <c r="Z19" s="147">
        <v>0.86090225563909761</v>
      </c>
      <c r="AA19" s="147">
        <v>0.86994219653179183</v>
      </c>
      <c r="AB19" s="147">
        <v>0.87944664031620556</v>
      </c>
      <c r="AC19" s="147">
        <v>0.8892276422764227</v>
      </c>
      <c r="AD19" s="147">
        <v>0.89958158995815907</v>
      </c>
      <c r="AE19" s="147">
        <v>0.91741071428571441</v>
      </c>
      <c r="AF19" s="148">
        <v>0.89333333333333276</v>
      </c>
      <c r="AG19" s="148">
        <v>0.90666666666666629</v>
      </c>
      <c r="AH19" s="148">
        <v>0.90666666666666629</v>
      </c>
      <c r="AI19" s="148">
        <v>0.90666666666666629</v>
      </c>
      <c r="AJ19" s="148">
        <v>0.89333333333333365</v>
      </c>
      <c r="AK19" s="148">
        <v>0.88000000000000012</v>
      </c>
      <c r="AL19" s="148">
        <v>0.81333333333333346</v>
      </c>
      <c r="AM19" s="138">
        <f>Y19*C19+($A$4-80)*AF19*$A$16/1000</f>
        <v>21.832758620689656</v>
      </c>
      <c r="AN19" s="138">
        <f>Z19*E19+($A$4-80)*AG19*$A$16/1000</f>
        <v>21.320689655172412</v>
      </c>
      <c r="AO19" s="138">
        <f>AA19*G19+($A$4-80)*AH19*$A$16/1000</f>
        <v>21.018103448275863</v>
      </c>
      <c r="AP19" s="138">
        <f>AB19*I19+($A$4-80)*AI19*$A$16/1000</f>
        <v>20.71551724137931</v>
      </c>
      <c r="AQ19" s="138">
        <f>AC19*K19+($A$4-80)*AJ19*$A$16/1000</f>
        <v>20.366379310344826</v>
      </c>
      <c r="AR19" s="138">
        <f>AD19*M19+($A$4-80)*AK19*$A$16/1000</f>
        <v>20.017241379310345</v>
      </c>
      <c r="AS19" s="138">
        <f>AE19*O19+($A$4-80)*AL19*$A$16/1000</f>
        <v>19.132758620689657</v>
      </c>
    </row>
    <row r="22" spans="1:45" x14ac:dyDescent="0.2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</row>
    <row r="23" spans="1:45" ht="15" x14ac:dyDescent="0.25">
      <c r="B23" s="64"/>
      <c r="C23" s="64"/>
      <c r="D23" s="64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</row>
    <row r="24" spans="1:45" ht="12.75" customHeight="1" x14ac:dyDescent="0.25">
      <c r="B24" s="65"/>
      <c r="C24" s="65"/>
      <c r="D24" s="65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</row>
    <row r="25" spans="1:45" ht="15" x14ac:dyDescent="0.2">
      <c r="A25" s="174"/>
      <c r="B25" s="175"/>
      <c r="C25" s="145"/>
      <c r="D25" s="145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</row>
    <row r="26" spans="1:45" ht="15" x14ac:dyDescent="0.2">
      <c r="A26" s="174"/>
      <c r="B26" s="174"/>
      <c r="C26" s="144"/>
      <c r="D26" s="144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</row>
    <row r="27" spans="1:45" ht="15" x14ac:dyDescent="0.2">
      <c r="A27" s="174"/>
      <c r="B27" s="174"/>
      <c r="C27" s="144"/>
      <c r="D27" s="144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</row>
    <row r="28" spans="1:45" x14ac:dyDescent="0.2">
      <c r="A28" s="173"/>
      <c r="B28" s="66"/>
      <c r="C28" s="66"/>
      <c r="D28" s="66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1:45" x14ac:dyDescent="0.2">
      <c r="A29" s="173"/>
      <c r="B29" s="66"/>
      <c r="C29" s="66"/>
      <c r="D29" s="66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1:45" x14ac:dyDescent="0.2">
      <c r="A30" s="173"/>
      <c r="B30" s="66"/>
      <c r="C30" s="66"/>
      <c r="D30" s="66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1:45" x14ac:dyDescent="0.2">
      <c r="A31" s="173"/>
      <c r="B31" s="66"/>
      <c r="C31" s="66"/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1:45" x14ac:dyDescent="0.2">
      <c r="A32" s="173"/>
      <c r="B32" s="66"/>
      <c r="C32" s="66"/>
      <c r="D32" s="66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1:16" x14ac:dyDescent="0.2">
      <c r="A33" s="173"/>
      <c r="B33" s="66"/>
      <c r="C33" s="66"/>
      <c r="D33" s="66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1:16" x14ac:dyDescent="0.2">
      <c r="A34" s="173"/>
      <c r="B34" s="66"/>
      <c r="C34" s="66"/>
      <c r="D34" s="66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1:16" x14ac:dyDescent="0.2">
      <c r="A35" s="173"/>
      <c r="B35" s="66"/>
      <c r="C35" s="66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1:16" x14ac:dyDescent="0.2">
      <c r="A36" s="173"/>
      <c r="B36" s="66"/>
      <c r="C36" s="66"/>
      <c r="D36" s="66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1:16" x14ac:dyDescent="0.2">
      <c r="A37" s="173"/>
      <c r="B37" s="66"/>
      <c r="C37" s="66"/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x14ac:dyDescent="0.2">
      <c r="A38" s="173"/>
      <c r="B38" s="66"/>
      <c r="C38" s="66"/>
      <c r="D38" s="66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1:16" x14ac:dyDescent="0.2">
      <c r="A39" s="173"/>
      <c r="B39" s="66"/>
      <c r="C39" s="66"/>
      <c r="D39" s="66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x14ac:dyDescent="0.2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</row>
    <row r="41" spans="1:16" x14ac:dyDescent="0.2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</row>
    <row r="42" spans="1:16" ht="15" x14ac:dyDescent="0.25">
      <c r="A42" s="174"/>
      <c r="B42" s="174"/>
      <c r="C42" s="144"/>
      <c r="D42" s="144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</row>
    <row r="43" spans="1:16" ht="15" x14ac:dyDescent="0.2">
      <c r="A43" s="174"/>
      <c r="B43" s="174"/>
      <c r="C43" s="144"/>
      <c r="D43" s="144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</row>
    <row r="44" spans="1:16" ht="15" x14ac:dyDescent="0.2">
      <c r="A44" s="174"/>
      <c r="B44" s="175"/>
      <c r="C44" s="145"/>
      <c r="D44" s="145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</row>
    <row r="45" spans="1:16" ht="15" x14ac:dyDescent="0.2">
      <c r="A45" s="174"/>
      <c r="B45" s="174"/>
      <c r="C45" s="144"/>
      <c r="D45" s="144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</row>
    <row r="46" spans="1:16" ht="15" x14ac:dyDescent="0.2">
      <c r="A46" s="174"/>
      <c r="B46" s="174"/>
      <c r="C46" s="144"/>
      <c r="D46" s="144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</row>
    <row r="47" spans="1:16" x14ac:dyDescent="0.2">
      <c r="A47" s="173"/>
      <c r="B47" s="66"/>
      <c r="C47" s="66"/>
      <c r="D47" s="66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1:16" x14ac:dyDescent="0.2">
      <c r="A48" s="173"/>
      <c r="B48" s="66"/>
      <c r="C48" s="66"/>
      <c r="D48" s="66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1:16" x14ac:dyDescent="0.2">
      <c r="A49" s="173"/>
      <c r="B49" s="66"/>
      <c r="C49" s="66"/>
      <c r="D49" s="66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1:16" x14ac:dyDescent="0.2">
      <c r="A50" s="173"/>
      <c r="B50" s="66"/>
      <c r="C50" s="66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1:16" x14ac:dyDescent="0.2">
      <c r="A51" s="173"/>
      <c r="B51" s="66"/>
      <c r="C51" s="66"/>
      <c r="D51" s="66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1:16" x14ac:dyDescent="0.2">
      <c r="A52" s="173"/>
      <c r="B52" s="66"/>
      <c r="C52" s="66"/>
      <c r="D52" s="66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1:16" x14ac:dyDescent="0.2">
      <c r="A53" s="173"/>
      <c r="B53" s="66"/>
      <c r="C53" s="66"/>
      <c r="D53" s="66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1:16" x14ac:dyDescent="0.2">
      <c r="A54" s="173"/>
      <c r="B54" s="66"/>
      <c r="C54" s="66"/>
      <c r="D54" s="66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1:16" x14ac:dyDescent="0.2">
      <c r="A55" s="173"/>
      <c r="B55" s="66"/>
      <c r="C55" s="66"/>
      <c r="D55" s="66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1:16" x14ac:dyDescent="0.2">
      <c r="A56" s="173"/>
      <c r="B56" s="66"/>
      <c r="C56" s="66"/>
      <c r="D56" s="66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1:16" x14ac:dyDescent="0.2">
      <c r="A57" s="173"/>
      <c r="B57" s="66"/>
      <c r="C57" s="66"/>
      <c r="D57" s="66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1:16" x14ac:dyDescent="0.2">
      <c r="A58" s="173"/>
      <c r="B58" s="66"/>
      <c r="C58" s="66"/>
      <c r="D58" s="66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6" x14ac:dyDescent="0.2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</row>
    <row r="60" spans="1:16" x14ac:dyDescent="0.2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ht="15" x14ac:dyDescent="0.25">
      <c r="A61" s="174"/>
      <c r="B61" s="174"/>
      <c r="C61" s="144"/>
      <c r="D61" s="144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</row>
    <row r="62" spans="1:16" ht="15" x14ac:dyDescent="0.2">
      <c r="A62" s="174"/>
      <c r="B62" s="174"/>
      <c r="C62" s="144"/>
      <c r="D62" s="144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</row>
    <row r="63" spans="1:16" ht="15" x14ac:dyDescent="0.2">
      <c r="A63" s="174"/>
      <c r="B63" s="175"/>
      <c r="C63" s="145"/>
      <c r="D63" s="145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</row>
    <row r="64" spans="1:16" ht="15" x14ac:dyDescent="0.2">
      <c r="A64" s="174"/>
      <c r="B64" s="174"/>
      <c r="C64" s="144"/>
      <c r="D64" s="144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</row>
    <row r="65" spans="1:16" ht="15" x14ac:dyDescent="0.2">
      <c r="A65" s="174"/>
      <c r="B65" s="174"/>
      <c r="C65" s="144"/>
      <c r="D65" s="144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</row>
    <row r="66" spans="1:16" x14ac:dyDescent="0.2">
      <c r="A66" s="173"/>
      <c r="B66" s="66"/>
      <c r="C66" s="66"/>
      <c r="D66" s="66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1:16" x14ac:dyDescent="0.2">
      <c r="A67" s="173"/>
      <c r="B67" s="66"/>
      <c r="C67" s="66"/>
      <c r="D67" s="66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1:16" x14ac:dyDescent="0.2">
      <c r="A68" s="173"/>
      <c r="B68" s="66"/>
      <c r="C68" s="66"/>
      <c r="D68" s="66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1:16" x14ac:dyDescent="0.2">
      <c r="A69" s="173"/>
      <c r="B69" s="66"/>
      <c r="C69" s="66"/>
      <c r="D69" s="66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1:16" x14ac:dyDescent="0.2">
      <c r="A70" s="173"/>
      <c r="B70" s="66"/>
      <c r="C70" s="66"/>
      <c r="D70" s="66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1:16" x14ac:dyDescent="0.2">
      <c r="A71" s="173"/>
      <c r="B71" s="66"/>
      <c r="C71" s="66"/>
      <c r="D71" s="66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1:16" x14ac:dyDescent="0.2">
      <c r="A72" s="173"/>
      <c r="B72" s="66"/>
      <c r="C72" s="66"/>
      <c r="D72" s="66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1:16" x14ac:dyDescent="0.2">
      <c r="A73" s="173"/>
      <c r="B73" s="66"/>
      <c r="C73" s="66"/>
      <c r="D73" s="66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1:16" x14ac:dyDescent="0.2">
      <c r="A74" s="173"/>
      <c r="B74" s="66"/>
      <c r="C74" s="66"/>
      <c r="D74" s="66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1:16" x14ac:dyDescent="0.2">
      <c r="A75" s="173"/>
      <c r="B75" s="66"/>
      <c r="C75" s="66"/>
      <c r="D75" s="66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1:16" x14ac:dyDescent="0.2">
      <c r="A76" s="173"/>
      <c r="B76" s="66"/>
      <c r="C76" s="66"/>
      <c r="D76" s="66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1:16" x14ac:dyDescent="0.2">
      <c r="A77" s="173"/>
      <c r="B77" s="66"/>
      <c r="C77" s="66"/>
      <c r="D77" s="66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1:16" x14ac:dyDescent="0.2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</row>
    <row r="79" spans="1:16" x14ac:dyDescent="0.2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</row>
    <row r="80" spans="1:16" ht="15" x14ac:dyDescent="0.25">
      <c r="A80" s="174"/>
      <c r="B80" s="174"/>
      <c r="C80" s="144"/>
      <c r="D80" s="144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</row>
    <row r="81" spans="1:16" ht="15" x14ac:dyDescent="0.2">
      <c r="A81" s="174"/>
      <c r="B81" s="174"/>
      <c r="C81" s="144"/>
      <c r="D81" s="144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</row>
    <row r="82" spans="1:16" ht="15" x14ac:dyDescent="0.2">
      <c r="A82" s="174"/>
      <c r="B82" s="175"/>
      <c r="C82" s="145"/>
      <c r="D82" s="145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</row>
    <row r="83" spans="1:16" ht="15" x14ac:dyDescent="0.2">
      <c r="A83" s="174"/>
      <c r="B83" s="174"/>
      <c r="C83" s="144"/>
      <c r="D83" s="144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</row>
    <row r="84" spans="1:16" ht="15" x14ac:dyDescent="0.2">
      <c r="A84" s="174"/>
      <c r="B84" s="174"/>
      <c r="C84" s="144"/>
      <c r="D84" s="144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</row>
    <row r="85" spans="1:16" x14ac:dyDescent="0.2">
      <c r="A85" s="173"/>
      <c r="B85" s="66"/>
      <c r="C85" s="66"/>
      <c r="D85" s="66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1:16" x14ac:dyDescent="0.2">
      <c r="A86" s="173"/>
      <c r="B86" s="66"/>
      <c r="C86" s="66"/>
      <c r="D86" s="66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1:16" x14ac:dyDescent="0.2">
      <c r="A87" s="173"/>
      <c r="B87" s="66"/>
      <c r="C87" s="66"/>
      <c r="D87" s="66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1:16" x14ac:dyDescent="0.2">
      <c r="A88" s="173"/>
      <c r="B88" s="66"/>
      <c r="C88" s="66"/>
      <c r="D88" s="66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1:16" x14ac:dyDescent="0.2">
      <c r="A89" s="173"/>
      <c r="B89" s="66"/>
      <c r="C89" s="66"/>
      <c r="D89" s="66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1:16" x14ac:dyDescent="0.2">
      <c r="A90" s="173"/>
      <c r="B90" s="66"/>
      <c r="C90" s="66"/>
      <c r="D90" s="66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1:16" x14ac:dyDescent="0.2">
      <c r="A91" s="173"/>
      <c r="B91" s="66"/>
      <c r="C91" s="66"/>
      <c r="D91" s="66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1:16" x14ac:dyDescent="0.2">
      <c r="A92" s="173"/>
      <c r="B92" s="66"/>
      <c r="C92" s="66"/>
      <c r="D92" s="66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1:16" x14ac:dyDescent="0.2">
      <c r="A93" s="173"/>
      <c r="B93" s="66"/>
      <c r="C93" s="66"/>
      <c r="D93" s="66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1:16" x14ac:dyDescent="0.2">
      <c r="A94" s="173"/>
      <c r="B94" s="66"/>
      <c r="C94" s="66"/>
      <c r="D94" s="66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1:16" x14ac:dyDescent="0.2">
      <c r="A95" s="173"/>
      <c r="B95" s="66"/>
      <c r="C95" s="66"/>
      <c r="D95" s="66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1:16" x14ac:dyDescent="0.2">
      <c r="A96" s="173"/>
      <c r="B96" s="66"/>
      <c r="C96" s="66"/>
      <c r="D96" s="66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1:16" x14ac:dyDescent="0.2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</row>
    <row r="98" spans="1:16" x14ac:dyDescent="0.2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</row>
    <row r="99" spans="1:16" ht="15" x14ac:dyDescent="0.25">
      <c r="A99" s="174"/>
      <c r="B99" s="174"/>
      <c r="C99" s="144"/>
      <c r="D99" s="144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</row>
    <row r="100" spans="1:16" ht="15" x14ac:dyDescent="0.2">
      <c r="A100" s="174"/>
      <c r="B100" s="174"/>
      <c r="C100" s="144"/>
      <c r="D100" s="144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</row>
    <row r="101" spans="1:16" ht="15" x14ac:dyDescent="0.2">
      <c r="A101" s="174"/>
      <c r="B101" s="175"/>
      <c r="C101" s="145"/>
      <c r="D101" s="145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</row>
    <row r="102" spans="1:16" ht="15" x14ac:dyDescent="0.2">
      <c r="A102" s="174"/>
      <c r="B102" s="174"/>
      <c r="C102" s="144"/>
      <c r="D102" s="144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</row>
    <row r="103" spans="1:16" ht="15" x14ac:dyDescent="0.2">
      <c r="A103" s="174"/>
      <c r="B103" s="174"/>
      <c r="C103" s="144"/>
      <c r="D103" s="144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</row>
    <row r="104" spans="1:16" x14ac:dyDescent="0.2">
      <c r="A104" s="173"/>
      <c r="B104" s="66"/>
      <c r="C104" s="66"/>
      <c r="D104" s="66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1:16" x14ac:dyDescent="0.2">
      <c r="A105" s="173"/>
      <c r="B105" s="66"/>
      <c r="C105" s="66"/>
      <c r="D105" s="66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1:16" x14ac:dyDescent="0.2">
      <c r="A106" s="173"/>
      <c r="B106" s="66"/>
      <c r="C106" s="66"/>
      <c r="D106" s="66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1:16" x14ac:dyDescent="0.2">
      <c r="A107" s="173"/>
      <c r="B107" s="66"/>
      <c r="C107" s="66"/>
      <c r="D107" s="66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1:16" x14ac:dyDescent="0.2">
      <c r="A108" s="173"/>
      <c r="B108" s="66"/>
      <c r="C108" s="66"/>
      <c r="D108" s="66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1:16" x14ac:dyDescent="0.2">
      <c r="A109" s="173"/>
      <c r="B109" s="66"/>
      <c r="C109" s="66"/>
      <c r="D109" s="66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1:16" x14ac:dyDescent="0.2">
      <c r="A110" s="173"/>
      <c r="B110" s="66"/>
      <c r="C110" s="66"/>
      <c r="D110" s="66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  <row r="111" spans="1:16" x14ac:dyDescent="0.2">
      <c r="A111" s="173"/>
      <c r="B111" s="66"/>
      <c r="C111" s="66"/>
      <c r="D111" s="66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</row>
    <row r="112" spans="1:16" x14ac:dyDescent="0.2">
      <c r="A112" s="173"/>
      <c r="B112" s="66"/>
      <c r="C112" s="66"/>
      <c r="D112" s="66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</row>
    <row r="113" spans="1:16" x14ac:dyDescent="0.2">
      <c r="A113" s="173"/>
      <c r="B113" s="66"/>
      <c r="C113" s="66"/>
      <c r="D113" s="66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</row>
    <row r="114" spans="1:16" x14ac:dyDescent="0.2">
      <c r="A114" s="173"/>
      <c r="B114" s="66"/>
      <c r="C114" s="66"/>
      <c r="D114" s="66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</row>
    <row r="115" spans="1:16" x14ac:dyDescent="0.2">
      <c r="A115" s="173"/>
      <c r="B115" s="66"/>
      <c r="C115" s="66"/>
      <c r="D115" s="66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</row>
    <row r="116" spans="1:16" x14ac:dyDescent="0.2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</row>
    <row r="117" spans="1:16" x14ac:dyDescent="0.2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</row>
    <row r="118" spans="1:16" ht="15" x14ac:dyDescent="0.25">
      <c r="A118" s="174"/>
      <c r="B118" s="174"/>
      <c r="C118" s="144"/>
      <c r="D118" s="144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</row>
    <row r="119" spans="1:16" ht="15" x14ac:dyDescent="0.2">
      <c r="A119" s="174"/>
      <c r="B119" s="174"/>
      <c r="C119" s="144"/>
      <c r="D119" s="144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</row>
    <row r="120" spans="1:16" ht="15" x14ac:dyDescent="0.2">
      <c r="A120" s="174"/>
      <c r="B120" s="175"/>
      <c r="C120" s="145"/>
      <c r="D120" s="145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</row>
    <row r="121" spans="1:16" ht="15" x14ac:dyDescent="0.2">
      <c r="A121" s="174"/>
      <c r="B121" s="174"/>
      <c r="C121" s="144"/>
      <c r="D121" s="144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</row>
    <row r="122" spans="1:16" ht="15" x14ac:dyDescent="0.2">
      <c r="A122" s="174"/>
      <c r="B122" s="174"/>
      <c r="C122" s="144"/>
      <c r="D122" s="144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x14ac:dyDescent="0.2">
      <c r="A123" s="173"/>
      <c r="B123" s="66"/>
      <c r="C123" s="66"/>
      <c r="D123" s="66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</row>
    <row r="124" spans="1:16" x14ac:dyDescent="0.2">
      <c r="A124" s="173"/>
      <c r="B124" s="66"/>
      <c r="C124" s="66"/>
      <c r="D124" s="66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</row>
    <row r="125" spans="1:16" x14ac:dyDescent="0.2">
      <c r="A125" s="173"/>
      <c r="B125" s="66"/>
      <c r="C125" s="66"/>
      <c r="D125" s="66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</row>
    <row r="126" spans="1:16" x14ac:dyDescent="0.2">
      <c r="A126" s="173"/>
      <c r="B126" s="66"/>
      <c r="C126" s="66"/>
      <c r="D126" s="66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</row>
    <row r="127" spans="1:16" x14ac:dyDescent="0.2">
      <c r="A127" s="173"/>
      <c r="B127" s="66"/>
      <c r="C127" s="66"/>
      <c r="D127" s="66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</row>
    <row r="128" spans="1:16" x14ac:dyDescent="0.2">
      <c r="A128" s="173"/>
      <c r="B128" s="66"/>
      <c r="C128" s="66"/>
      <c r="D128" s="66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</row>
    <row r="129" spans="1:16" x14ac:dyDescent="0.2">
      <c r="A129" s="173"/>
      <c r="B129" s="66"/>
      <c r="C129" s="66"/>
      <c r="D129" s="66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</row>
    <row r="130" spans="1:16" x14ac:dyDescent="0.2">
      <c r="A130" s="173"/>
      <c r="B130" s="66"/>
      <c r="C130" s="66"/>
      <c r="D130" s="66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</row>
    <row r="131" spans="1:16" x14ac:dyDescent="0.2">
      <c r="A131" s="173"/>
      <c r="B131" s="66"/>
      <c r="C131" s="66"/>
      <c r="D131" s="66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</row>
    <row r="132" spans="1:16" x14ac:dyDescent="0.2">
      <c r="A132" s="173"/>
      <c r="B132" s="66"/>
      <c r="C132" s="66"/>
      <c r="D132" s="66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</row>
    <row r="133" spans="1:16" x14ac:dyDescent="0.2">
      <c r="A133" s="173"/>
      <c r="B133" s="66"/>
      <c r="C133" s="66"/>
      <c r="D133" s="66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</row>
    <row r="134" spans="1:16" x14ac:dyDescent="0.2">
      <c r="A134" s="173"/>
      <c r="B134" s="66"/>
      <c r="C134" s="66"/>
      <c r="D134" s="66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</row>
    <row r="135" spans="1:16" x14ac:dyDescent="0.2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</row>
    <row r="136" spans="1:16" x14ac:dyDescent="0.2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</row>
    <row r="137" spans="1:16" x14ac:dyDescent="0.2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</row>
    <row r="138" spans="1:16" x14ac:dyDescent="0.2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</row>
  </sheetData>
  <mergeCells count="220">
    <mergeCell ref="A131:A134"/>
    <mergeCell ref="M121:M122"/>
    <mergeCell ref="N121:N122"/>
    <mergeCell ref="O121:O122"/>
    <mergeCell ref="P121:P122"/>
    <mergeCell ref="A123:A126"/>
    <mergeCell ref="A127:A130"/>
    <mergeCell ref="M120:N120"/>
    <mergeCell ref="O120:P120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A120:A122"/>
    <mergeCell ref="B120:B122"/>
    <mergeCell ref="E120:F120"/>
    <mergeCell ref="G120:H120"/>
    <mergeCell ref="I120:J120"/>
    <mergeCell ref="K120:L120"/>
    <mergeCell ref="A112:A115"/>
    <mergeCell ref="A118:B119"/>
    <mergeCell ref="E118:P118"/>
    <mergeCell ref="E119:F119"/>
    <mergeCell ref="G119:H119"/>
    <mergeCell ref="I119:J119"/>
    <mergeCell ref="K119:L119"/>
    <mergeCell ref="M119:N119"/>
    <mergeCell ref="O119:P119"/>
    <mergeCell ref="M102:M103"/>
    <mergeCell ref="N102:N103"/>
    <mergeCell ref="O102:O103"/>
    <mergeCell ref="P102:P103"/>
    <mergeCell ref="A104:A107"/>
    <mergeCell ref="A108:A111"/>
    <mergeCell ref="M101:N101"/>
    <mergeCell ref="O101:P101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A101:A103"/>
    <mergeCell ref="B101:B103"/>
    <mergeCell ref="E101:F101"/>
    <mergeCell ref="G101:H101"/>
    <mergeCell ref="I101:J101"/>
    <mergeCell ref="K101:L101"/>
    <mergeCell ref="A93:A96"/>
    <mergeCell ref="A99:B100"/>
    <mergeCell ref="E99:P99"/>
    <mergeCell ref="E100:F100"/>
    <mergeCell ref="G100:H100"/>
    <mergeCell ref="I100:J100"/>
    <mergeCell ref="K100:L100"/>
    <mergeCell ref="M100:N100"/>
    <mergeCell ref="O100:P100"/>
    <mergeCell ref="M83:M84"/>
    <mergeCell ref="N83:N84"/>
    <mergeCell ref="O83:O84"/>
    <mergeCell ref="P83:P84"/>
    <mergeCell ref="A85:A88"/>
    <mergeCell ref="A89:A92"/>
    <mergeCell ref="M82:N82"/>
    <mergeCell ref="O82:P82"/>
    <mergeCell ref="E83:E84"/>
    <mergeCell ref="F83:F84"/>
    <mergeCell ref="G83:G84"/>
    <mergeCell ref="H83:H84"/>
    <mergeCell ref="I83:I84"/>
    <mergeCell ref="J83:J84"/>
    <mergeCell ref="K83:K84"/>
    <mergeCell ref="L83:L84"/>
    <mergeCell ref="A82:A84"/>
    <mergeCell ref="B82:B84"/>
    <mergeCell ref="E82:F82"/>
    <mergeCell ref="G82:H82"/>
    <mergeCell ref="I82:J82"/>
    <mergeCell ref="K82:L82"/>
    <mergeCell ref="A74:A77"/>
    <mergeCell ref="A80:B81"/>
    <mergeCell ref="E80:P80"/>
    <mergeCell ref="E81:F81"/>
    <mergeCell ref="G81:H81"/>
    <mergeCell ref="I81:J81"/>
    <mergeCell ref="K81:L81"/>
    <mergeCell ref="M81:N81"/>
    <mergeCell ref="O81:P81"/>
    <mergeCell ref="M64:M65"/>
    <mergeCell ref="N64:N65"/>
    <mergeCell ref="O64:O65"/>
    <mergeCell ref="P64:P65"/>
    <mergeCell ref="A66:A69"/>
    <mergeCell ref="A70:A73"/>
    <mergeCell ref="M63:N63"/>
    <mergeCell ref="O63:P63"/>
    <mergeCell ref="E64:E65"/>
    <mergeCell ref="F64:F65"/>
    <mergeCell ref="G64:G65"/>
    <mergeCell ref="H64:H65"/>
    <mergeCell ref="I64:I65"/>
    <mergeCell ref="J64:J65"/>
    <mergeCell ref="K64:K65"/>
    <mergeCell ref="L64:L65"/>
    <mergeCell ref="A63:A65"/>
    <mergeCell ref="B63:B65"/>
    <mergeCell ref="E63:F63"/>
    <mergeCell ref="G63:H63"/>
    <mergeCell ref="I63:J63"/>
    <mergeCell ref="K63:L63"/>
    <mergeCell ref="A55:A58"/>
    <mergeCell ref="A61:B62"/>
    <mergeCell ref="E61:P61"/>
    <mergeCell ref="E62:F62"/>
    <mergeCell ref="G62:H62"/>
    <mergeCell ref="I62:J62"/>
    <mergeCell ref="K62:L62"/>
    <mergeCell ref="M62:N62"/>
    <mergeCell ref="O62:P62"/>
    <mergeCell ref="M45:M46"/>
    <mergeCell ref="N45:N46"/>
    <mergeCell ref="O45:O46"/>
    <mergeCell ref="P45:P46"/>
    <mergeCell ref="A47:A50"/>
    <mergeCell ref="A51:A54"/>
    <mergeCell ref="M44:N44"/>
    <mergeCell ref="O44:P44"/>
    <mergeCell ref="E45:E46"/>
    <mergeCell ref="F45:F46"/>
    <mergeCell ref="G45:G46"/>
    <mergeCell ref="H45:H46"/>
    <mergeCell ref="I45:I46"/>
    <mergeCell ref="J45:J46"/>
    <mergeCell ref="K45:K46"/>
    <mergeCell ref="L45:L46"/>
    <mergeCell ref="A44:A46"/>
    <mergeCell ref="B44:B46"/>
    <mergeCell ref="E44:F44"/>
    <mergeCell ref="G44:H44"/>
    <mergeCell ref="I44:J44"/>
    <mergeCell ref="K44:L44"/>
    <mergeCell ref="A36:A39"/>
    <mergeCell ref="A42:B43"/>
    <mergeCell ref="E42:P42"/>
    <mergeCell ref="E43:F43"/>
    <mergeCell ref="G43:H43"/>
    <mergeCell ref="I43:J43"/>
    <mergeCell ref="K43:L43"/>
    <mergeCell ref="M43:N43"/>
    <mergeCell ref="O43:P43"/>
    <mergeCell ref="M26:M27"/>
    <mergeCell ref="N26:N27"/>
    <mergeCell ref="O26:O27"/>
    <mergeCell ref="P26:P27"/>
    <mergeCell ref="A28:A31"/>
    <mergeCell ref="A32:A35"/>
    <mergeCell ref="M25:N25"/>
    <mergeCell ref="O25:P25"/>
    <mergeCell ref="E26:E27"/>
    <mergeCell ref="F26:F27"/>
    <mergeCell ref="G26:G27"/>
    <mergeCell ref="H26:H27"/>
    <mergeCell ref="I26:I27"/>
    <mergeCell ref="J26:J27"/>
    <mergeCell ref="K26:K27"/>
    <mergeCell ref="L26:L27"/>
    <mergeCell ref="A25:A27"/>
    <mergeCell ref="B25:B27"/>
    <mergeCell ref="E25:F25"/>
    <mergeCell ref="G25:H25"/>
    <mergeCell ref="I25:J25"/>
    <mergeCell ref="K25:L25"/>
    <mergeCell ref="A8:A11"/>
    <mergeCell ref="A12:A15"/>
    <mergeCell ref="A16:A19"/>
    <mergeCell ref="E23:P23"/>
    <mergeCell ref="E24:F24"/>
    <mergeCell ref="G24:H24"/>
    <mergeCell ref="I24:J24"/>
    <mergeCell ref="K24:L24"/>
    <mergeCell ref="M24:N24"/>
    <mergeCell ref="O24:P24"/>
    <mergeCell ref="K6:K7"/>
    <mergeCell ref="L6:L7"/>
    <mergeCell ref="M6:M7"/>
    <mergeCell ref="N6:N7"/>
    <mergeCell ref="O6:O7"/>
    <mergeCell ref="P6:P7"/>
    <mergeCell ref="K5:L5"/>
    <mergeCell ref="M5:N5"/>
    <mergeCell ref="O5:P5"/>
    <mergeCell ref="C6:C7"/>
    <mergeCell ref="D6:D7"/>
    <mergeCell ref="E6:E7"/>
    <mergeCell ref="F6:F7"/>
    <mergeCell ref="G6:G7"/>
    <mergeCell ref="H6:H7"/>
    <mergeCell ref="I6:I7"/>
    <mergeCell ref="A5:A7"/>
    <mergeCell ref="B5:B7"/>
    <mergeCell ref="C5:D5"/>
    <mergeCell ref="E5:F5"/>
    <mergeCell ref="G5:H5"/>
    <mergeCell ref="I5:J5"/>
    <mergeCell ref="J6:J7"/>
    <mergeCell ref="A3:B3"/>
    <mergeCell ref="C3:P3"/>
    <mergeCell ref="C4:D4"/>
    <mergeCell ref="E4:F4"/>
    <mergeCell ref="G4:H4"/>
    <mergeCell ref="I4:J4"/>
    <mergeCell ref="K4:L4"/>
    <mergeCell ref="M4:N4"/>
    <mergeCell ref="O4:P4"/>
  </mergeCells>
  <pageMargins left="0.25" right="0.25" top="0.75" bottom="0.75" header="0.5" footer="0.5"/>
  <pageSetup scale="2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theme="9" tint="-0.249977111117893"/>
    <pageSetUpPr fitToPage="1"/>
  </sheetPr>
  <dimension ref="A1:AS138"/>
  <sheetViews>
    <sheetView workbookViewId="0">
      <selection activeCell="K22" sqref="K22"/>
    </sheetView>
  </sheetViews>
  <sheetFormatPr defaultRowHeight="12.75" x14ac:dyDescent="0.2"/>
  <cols>
    <col min="1" max="16384" width="9.140625" style="49"/>
  </cols>
  <sheetData>
    <row r="1" spans="1:45" x14ac:dyDescent="0.2">
      <c r="A1" s="48"/>
    </row>
    <row r="2" spans="1:45" ht="13.5" thickBot="1" x14ac:dyDescent="0.25">
      <c r="A2" s="49" t="s">
        <v>93</v>
      </c>
    </row>
    <row r="3" spans="1:45" ht="15" x14ac:dyDescent="0.25">
      <c r="A3" s="153" t="s">
        <v>20</v>
      </c>
      <c r="B3" s="154"/>
      <c r="C3" s="155" t="s">
        <v>5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7"/>
    </row>
    <row r="4" spans="1:45" ht="12.75" customHeight="1" x14ac:dyDescent="0.2">
      <c r="A4" s="50">
        <v>80</v>
      </c>
      <c r="B4" s="51" t="s">
        <v>19</v>
      </c>
      <c r="C4" s="158">
        <v>65</v>
      </c>
      <c r="D4" s="158"/>
      <c r="E4" s="158">
        <v>75</v>
      </c>
      <c r="F4" s="158"/>
      <c r="G4" s="158">
        <v>80</v>
      </c>
      <c r="H4" s="158"/>
      <c r="I4" s="158">
        <v>85</v>
      </c>
      <c r="J4" s="158"/>
      <c r="K4" s="158">
        <v>90</v>
      </c>
      <c r="L4" s="158"/>
      <c r="M4" s="158">
        <v>95</v>
      </c>
      <c r="N4" s="158"/>
      <c r="O4" s="158">
        <v>105</v>
      </c>
      <c r="P4" s="159"/>
    </row>
    <row r="5" spans="1:45" x14ac:dyDescent="0.2">
      <c r="A5" s="162" t="s">
        <v>0</v>
      </c>
      <c r="B5" s="164" t="s">
        <v>9</v>
      </c>
      <c r="C5" s="158" t="s">
        <v>1</v>
      </c>
      <c r="D5" s="158"/>
      <c r="E5" s="158" t="s">
        <v>1</v>
      </c>
      <c r="F5" s="158"/>
      <c r="G5" s="158" t="s">
        <v>1</v>
      </c>
      <c r="H5" s="158"/>
      <c r="I5" s="158" t="s">
        <v>1</v>
      </c>
      <c r="J5" s="158"/>
      <c r="K5" s="158" t="s">
        <v>1</v>
      </c>
      <c r="L5" s="158"/>
      <c r="M5" s="158" t="s">
        <v>1</v>
      </c>
      <c r="N5" s="158"/>
      <c r="O5" s="158" t="s">
        <v>1</v>
      </c>
      <c r="P5" s="159"/>
    </row>
    <row r="6" spans="1:45" ht="15" customHeight="1" x14ac:dyDescent="0.2">
      <c r="A6" s="162"/>
      <c r="B6" s="165"/>
      <c r="C6" s="160" t="s">
        <v>2</v>
      </c>
      <c r="D6" s="158" t="s">
        <v>3</v>
      </c>
      <c r="E6" s="160" t="s">
        <v>2</v>
      </c>
      <c r="F6" s="158" t="s">
        <v>3</v>
      </c>
      <c r="G6" s="158" t="s">
        <v>2</v>
      </c>
      <c r="H6" s="158" t="s">
        <v>3</v>
      </c>
      <c r="I6" s="158" t="s">
        <v>2</v>
      </c>
      <c r="J6" s="158" t="s">
        <v>3</v>
      </c>
      <c r="K6" s="158" t="s">
        <v>2</v>
      </c>
      <c r="L6" s="158" t="s">
        <v>3</v>
      </c>
      <c r="M6" s="158" t="s">
        <v>2</v>
      </c>
      <c r="N6" s="158" t="s">
        <v>3</v>
      </c>
      <c r="O6" s="158" t="s">
        <v>2</v>
      </c>
      <c r="P6" s="159" t="s">
        <v>3</v>
      </c>
    </row>
    <row r="7" spans="1:45" ht="15.75" customHeight="1" thickBot="1" x14ac:dyDescent="0.25">
      <c r="A7" s="163"/>
      <c r="B7" s="166"/>
      <c r="C7" s="161"/>
      <c r="D7" s="160"/>
      <c r="E7" s="161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7"/>
      <c r="R7" s="49" t="s">
        <v>26</v>
      </c>
      <c r="Y7" s="49" t="s">
        <v>12</v>
      </c>
      <c r="AF7" s="49" t="s">
        <v>83</v>
      </c>
      <c r="AM7" s="49" t="s">
        <v>84</v>
      </c>
    </row>
    <row r="8" spans="1:45" x14ac:dyDescent="0.2">
      <c r="A8" s="168">
        <v>1350</v>
      </c>
      <c r="B8" s="52">
        <v>72</v>
      </c>
      <c r="C8" s="53">
        <f>R8*$M$14</f>
        <v>27.203773584905662</v>
      </c>
      <c r="D8" s="53">
        <f t="shared" ref="D8:D19" si="0">IF(AM8&gt;C8,C8,AM8)</f>
        <v>12.379245283018866</v>
      </c>
      <c r="E8" s="53">
        <f>S8*$M$14</f>
        <v>27.280188679245285</v>
      </c>
      <c r="F8" s="53">
        <f t="shared" ref="F8:F19" si="1">IF(AN8&gt;E8,E8,AN8)</f>
        <v>12.570283018867922</v>
      </c>
      <c r="G8" s="53">
        <f>T8*$M$14</f>
        <v>27.012735849056604</v>
      </c>
      <c r="H8" s="53">
        <f t="shared" ref="H8:H19" si="2">IF(AO8&gt;G8,G8,AO8)</f>
        <v>12.512971698113208</v>
      </c>
      <c r="I8" s="53">
        <f>U8*$M$14</f>
        <v>26.745283018867926</v>
      </c>
      <c r="J8" s="53">
        <f t="shared" ref="J8:J19" si="3">IF(AP8&gt;I8,I8,AP8)</f>
        <v>12.455660377358493</v>
      </c>
      <c r="K8" s="53">
        <f>V8*$M$14</f>
        <v>26.191273584905659</v>
      </c>
      <c r="L8" s="53">
        <f t="shared" ref="L8:L19" si="4">IF(AQ8&gt;K8,K8,AQ8)</f>
        <v>12.245518867924527</v>
      </c>
      <c r="M8" s="53">
        <f>W8*$M$14</f>
        <v>25.637264150943391</v>
      </c>
      <c r="N8" s="53">
        <f t="shared" ref="N8:N19" si="5">IF(AR8&gt;M8,M8,AR8)</f>
        <v>12.035377358490564</v>
      </c>
      <c r="O8" s="53">
        <f>X8*$M$14</f>
        <v>23.917924528301889</v>
      </c>
      <c r="P8" s="54">
        <f t="shared" ref="P8:P19" si="6">IF(AS8&gt;O8,O8,AS8)</f>
        <v>11.347641509433963</v>
      </c>
      <c r="R8" s="146">
        <v>1.1194968553459119</v>
      </c>
      <c r="S8" s="146">
        <v>1.1226415094339623</v>
      </c>
      <c r="T8" s="146">
        <v>1.1116352201257862</v>
      </c>
      <c r="U8" s="146">
        <v>1.10062893081761</v>
      </c>
      <c r="V8" s="146">
        <v>1.0778301886792452</v>
      </c>
      <c r="W8" s="146">
        <v>1.0550314465408803</v>
      </c>
      <c r="X8" s="146">
        <v>0.98427672955974843</v>
      </c>
      <c r="Y8" s="147">
        <v>0.45505617977528084</v>
      </c>
      <c r="Z8" s="147">
        <v>0.46078431372549011</v>
      </c>
      <c r="AA8" s="147">
        <v>0.46322489391796323</v>
      </c>
      <c r="AB8" s="147">
        <v>0.46571428571428575</v>
      </c>
      <c r="AC8" s="147">
        <v>0.46754194018964257</v>
      </c>
      <c r="AD8" s="147">
        <v>0.4694485842026826</v>
      </c>
      <c r="AE8" s="147">
        <v>0.4744408945686901</v>
      </c>
      <c r="AF8" s="148">
        <v>1.0074074074074069</v>
      </c>
      <c r="AG8" s="148">
        <v>0.96296296296296302</v>
      </c>
      <c r="AH8" s="148">
        <v>0.94814814814814807</v>
      </c>
      <c r="AI8" s="148">
        <v>0.93333333333333401</v>
      </c>
      <c r="AJ8" s="148">
        <v>0.92592592592592693</v>
      </c>
      <c r="AK8" s="148">
        <v>0.91851851851851907</v>
      </c>
      <c r="AL8" s="148">
        <v>0.94814814814814807</v>
      </c>
      <c r="AM8" s="138">
        <f>Y8*C8+($A$4-80)*AF8*$A$8/1000</f>
        <v>12.379245283018866</v>
      </c>
      <c r="AN8" s="138">
        <f>Z8*E8+($A$4-80)*AG8*$A$8/1000</f>
        <v>12.570283018867922</v>
      </c>
      <c r="AO8" s="138">
        <f>AA8*G8+($A$4-80)*AH8*$A$8/1000</f>
        <v>12.512971698113208</v>
      </c>
      <c r="AP8" s="138">
        <f>AB8*I8+($A$4-80)*AI8*$A$8/1000</f>
        <v>12.455660377358493</v>
      </c>
      <c r="AQ8" s="138">
        <f>AC8*K8+($A$4-80)*AJ8*$A$8/1000</f>
        <v>12.245518867924527</v>
      </c>
      <c r="AR8" s="138">
        <f>AD8*M8+($A$4-80)*AK8*$A$8/1000</f>
        <v>12.035377358490564</v>
      </c>
      <c r="AS8" s="138">
        <f>AE8*O8+($A$4-80)*AL8*$A$8/1000</f>
        <v>11.347641509433963</v>
      </c>
    </row>
    <row r="9" spans="1:45" x14ac:dyDescent="0.2">
      <c r="A9" s="169"/>
      <c r="B9" s="55">
        <v>69.5</v>
      </c>
      <c r="C9" s="56">
        <f t="shared" ref="C9:C19" si="7">R9*$M$14</f>
        <v>26.496933962264148</v>
      </c>
      <c r="D9" s="56">
        <f t="shared" si="0"/>
        <v>14.213207547169812</v>
      </c>
      <c r="E9" s="56">
        <f t="shared" ref="E9:E19" si="8">S9*$M$14</f>
        <v>26.496933962264148</v>
      </c>
      <c r="F9" s="56">
        <f t="shared" si="1"/>
        <v>14.404245283018868</v>
      </c>
      <c r="G9" s="56">
        <f t="shared" ref="G9:G19" si="9">T9*$M$14</f>
        <v>26.20082547169811</v>
      </c>
      <c r="H9" s="56">
        <f t="shared" si="2"/>
        <v>14.337382075471698</v>
      </c>
      <c r="I9" s="56">
        <f t="shared" ref="I9:I19" si="10">U9*$M$14</f>
        <v>25.904716981132072</v>
      </c>
      <c r="J9" s="56">
        <f t="shared" si="3"/>
        <v>14.270518867924528</v>
      </c>
      <c r="K9" s="56">
        <f t="shared" ref="K9:K19" si="11">V9*$M$14</f>
        <v>25.322051886792455</v>
      </c>
      <c r="L9" s="56">
        <f t="shared" si="4"/>
        <v>14.022169811320756</v>
      </c>
      <c r="M9" s="56">
        <f t="shared" ref="M9:M13" si="12">W9*$M$14</f>
        <v>24.73938679245283</v>
      </c>
      <c r="N9" s="56">
        <f t="shared" si="5"/>
        <v>13.773820754716981</v>
      </c>
      <c r="O9" s="56">
        <f t="shared" ref="O9:O19" si="13">X9*$M$14</f>
        <v>22.962735849056603</v>
      </c>
      <c r="P9" s="57">
        <f t="shared" si="6"/>
        <v>12.933254716981134</v>
      </c>
      <c r="R9" s="146">
        <v>1.0904088050314464</v>
      </c>
      <c r="S9" s="146">
        <v>1.0904088050314464</v>
      </c>
      <c r="T9" s="146">
        <v>1.0782232704402515</v>
      </c>
      <c r="U9" s="146">
        <v>1.0660377358490565</v>
      </c>
      <c r="V9" s="146">
        <v>1.042059748427673</v>
      </c>
      <c r="W9" s="146">
        <v>1.0180817610062893</v>
      </c>
      <c r="X9" s="146">
        <v>0.94496855345911945</v>
      </c>
      <c r="Y9" s="147">
        <v>0.53640951694304262</v>
      </c>
      <c r="Z9" s="147">
        <v>0.54361932227829857</v>
      </c>
      <c r="AA9" s="147">
        <v>0.54721108275610653</v>
      </c>
      <c r="AB9" s="147">
        <v>0.55088495575221241</v>
      </c>
      <c r="AC9" s="147">
        <v>0.55375330064126749</v>
      </c>
      <c r="AD9" s="147">
        <v>0.55675675675675673</v>
      </c>
      <c r="AE9" s="147">
        <v>0.56322795341098175</v>
      </c>
      <c r="AF9" s="148">
        <v>1.0074074074074069</v>
      </c>
      <c r="AG9" s="148">
        <v>0.96296296296296302</v>
      </c>
      <c r="AH9" s="148">
        <v>0.94814814814814807</v>
      </c>
      <c r="AI9" s="148">
        <v>0.93333333333333401</v>
      </c>
      <c r="AJ9" s="148">
        <v>0.92592592592592693</v>
      </c>
      <c r="AK9" s="148">
        <v>0.91851851851851907</v>
      </c>
      <c r="AL9" s="148">
        <v>0.94814814814814807</v>
      </c>
      <c r="AM9" s="138">
        <f>Y9*C9+($A$4-80)*AF9*$A$8/1000</f>
        <v>14.213207547169812</v>
      </c>
      <c r="AN9" s="138">
        <f>Z9*E9+($A$4-80)*AG9*$A$8/1000</f>
        <v>14.404245283018868</v>
      </c>
      <c r="AO9" s="138">
        <f>AA9*G9+($A$4-80)*AH9*$A$8/1000</f>
        <v>14.337382075471698</v>
      </c>
      <c r="AP9" s="138">
        <f>AB9*I9+($A$4-80)*AI9*$A$8/1000</f>
        <v>14.270518867924528</v>
      </c>
      <c r="AQ9" s="138">
        <f>AC9*K9+($A$4-80)*AJ9*$A$8/1000</f>
        <v>14.022169811320756</v>
      </c>
      <c r="AR9" s="138">
        <f>AD9*M9+($A$4-80)*AK9*$A$8/1000</f>
        <v>13.773820754716981</v>
      </c>
      <c r="AS9" s="138">
        <f>AE9*O9+($A$4-80)*AL9*$A$8/1000</f>
        <v>12.933254716981134</v>
      </c>
    </row>
    <row r="10" spans="1:45" x14ac:dyDescent="0.2">
      <c r="A10" s="169"/>
      <c r="B10" s="55">
        <v>67</v>
      </c>
      <c r="C10" s="56">
        <f t="shared" si="7"/>
        <v>25.790094339622645</v>
      </c>
      <c r="D10" s="58">
        <f t="shared" si="0"/>
        <v>16.047169811320757</v>
      </c>
      <c r="E10" s="56">
        <f t="shared" si="8"/>
        <v>25.713679245283018</v>
      </c>
      <c r="F10" s="58">
        <f t="shared" si="1"/>
        <v>16.238207547169811</v>
      </c>
      <c r="G10" s="56">
        <f t="shared" si="9"/>
        <v>25.388915094339616</v>
      </c>
      <c r="H10" s="56">
        <f t="shared" si="2"/>
        <v>16.161792452830188</v>
      </c>
      <c r="I10" s="56">
        <f t="shared" si="10"/>
        <v>25.064150943396228</v>
      </c>
      <c r="J10" s="56">
        <f t="shared" si="3"/>
        <v>16.085377358490568</v>
      </c>
      <c r="K10" s="56">
        <f t="shared" si="11"/>
        <v>24.452830188679247</v>
      </c>
      <c r="L10" s="58">
        <f t="shared" si="4"/>
        <v>15.798820754716983</v>
      </c>
      <c r="M10" s="56">
        <f t="shared" si="12"/>
        <v>23.841509433962266</v>
      </c>
      <c r="N10" s="58">
        <f t="shared" si="5"/>
        <v>15.512264150943398</v>
      </c>
      <c r="O10" s="56">
        <f t="shared" si="13"/>
        <v>22.007547169811321</v>
      </c>
      <c r="P10" s="59">
        <f t="shared" si="6"/>
        <v>14.518867924528301</v>
      </c>
      <c r="R10" s="146">
        <v>1.0613207547169812</v>
      </c>
      <c r="S10" s="146">
        <v>1.0581761006289307</v>
      </c>
      <c r="T10" s="146">
        <v>1.0448113207547167</v>
      </c>
      <c r="U10" s="146">
        <v>1.0314465408805031</v>
      </c>
      <c r="V10" s="146">
        <v>1.0062893081761006</v>
      </c>
      <c r="W10" s="146">
        <v>0.98113207547169812</v>
      </c>
      <c r="X10" s="146">
        <v>0.90566037735849059</v>
      </c>
      <c r="Y10" s="147">
        <v>0.62222222222222223</v>
      </c>
      <c r="Z10" s="147">
        <v>0.6315007429420505</v>
      </c>
      <c r="AA10" s="147">
        <v>0.63656884875846509</v>
      </c>
      <c r="AB10" s="147">
        <v>0.6417682926829269</v>
      </c>
      <c r="AC10" s="147">
        <v>0.64609375000000002</v>
      </c>
      <c r="AD10" s="147">
        <v>0.65064102564102566</v>
      </c>
      <c r="AE10" s="147">
        <v>0.65972222222222221</v>
      </c>
      <c r="AF10" s="148">
        <v>1.0074074074074069</v>
      </c>
      <c r="AG10" s="148">
        <v>0.96296296296296302</v>
      </c>
      <c r="AH10" s="148">
        <v>0.94814814814814807</v>
      </c>
      <c r="AI10" s="148">
        <v>0.93333333333333401</v>
      </c>
      <c r="AJ10" s="148">
        <v>0.92592592592592693</v>
      </c>
      <c r="AK10" s="148">
        <v>0.91851851851851907</v>
      </c>
      <c r="AL10" s="148">
        <v>0.94814814814814807</v>
      </c>
      <c r="AM10" s="138">
        <f>Y10*C10+($A$4-80)*AF10*$A$8/1000</f>
        <v>16.047169811320757</v>
      </c>
      <c r="AN10" s="138">
        <f>Z10*E10+($A$4-80)*AG10*$A$8/1000</f>
        <v>16.238207547169811</v>
      </c>
      <c r="AO10" s="138">
        <f>AA10*G10+($A$4-80)*AH10*$A$8/1000</f>
        <v>16.161792452830188</v>
      </c>
      <c r="AP10" s="138">
        <f>AB10*I10+($A$4-80)*AI10*$A$8/1000</f>
        <v>16.085377358490568</v>
      </c>
      <c r="AQ10" s="138">
        <f>AC10*K10+($A$4-80)*AJ10*$A$8/1000</f>
        <v>15.798820754716983</v>
      </c>
      <c r="AR10" s="138">
        <f>AD10*M10+($A$4-80)*AK10*$A$8/1000</f>
        <v>15.512264150943398</v>
      </c>
      <c r="AS10" s="138">
        <f>AE10*O10+($A$4-80)*AL10*$A$8/1000</f>
        <v>14.518867924528301</v>
      </c>
    </row>
    <row r="11" spans="1:45" ht="13.5" thickBot="1" x14ac:dyDescent="0.25">
      <c r="A11" s="170"/>
      <c r="B11" s="60">
        <v>62</v>
      </c>
      <c r="C11" s="61">
        <f t="shared" si="7"/>
        <v>23.688679245283019</v>
      </c>
      <c r="D11" s="61">
        <f t="shared" si="0"/>
        <v>18.874528301886791</v>
      </c>
      <c r="E11" s="61">
        <f t="shared" si="8"/>
        <v>22.657075471698114</v>
      </c>
      <c r="F11" s="61">
        <f t="shared" si="1"/>
        <v>18.339622641509436</v>
      </c>
      <c r="G11" s="61">
        <f t="shared" si="9"/>
        <v>22.141273584905662</v>
      </c>
      <c r="H11" s="61">
        <f t="shared" si="2"/>
        <v>18.072169811320755</v>
      </c>
      <c r="I11" s="61">
        <f t="shared" si="10"/>
        <v>21.625471698113209</v>
      </c>
      <c r="J11" s="61">
        <f t="shared" si="3"/>
        <v>17.804716981132078</v>
      </c>
      <c r="K11" s="61">
        <f t="shared" si="11"/>
        <v>21.090566037735851</v>
      </c>
      <c r="L11" s="61">
        <f t="shared" si="4"/>
        <v>17.518160377358491</v>
      </c>
      <c r="M11" s="61">
        <f t="shared" si="12"/>
        <v>20.555660377358489</v>
      </c>
      <c r="N11" s="61">
        <f t="shared" si="5"/>
        <v>17.231603773584908</v>
      </c>
      <c r="O11" s="61">
        <f t="shared" si="13"/>
        <v>19.447641509433964</v>
      </c>
      <c r="P11" s="62">
        <f t="shared" si="6"/>
        <v>16.658490566037738</v>
      </c>
      <c r="R11" s="146">
        <v>0.97484276729559749</v>
      </c>
      <c r="S11" s="146">
        <v>0.9323899371069182</v>
      </c>
      <c r="T11" s="146">
        <v>0.91116352201257866</v>
      </c>
      <c r="U11" s="146">
        <v>0.88993710691823902</v>
      </c>
      <c r="V11" s="146">
        <v>0.86792452830188682</v>
      </c>
      <c r="W11" s="146">
        <v>0.84591194968553451</v>
      </c>
      <c r="X11" s="146">
        <v>0.80031446540880502</v>
      </c>
      <c r="Y11" s="147">
        <v>0.79677419354838708</v>
      </c>
      <c r="Z11" s="147">
        <v>0.8094435075885329</v>
      </c>
      <c r="AA11" s="147">
        <v>0.81622088006902493</v>
      </c>
      <c r="AB11" s="147">
        <v>0.82332155477031799</v>
      </c>
      <c r="AC11" s="147">
        <v>0.83061594202898548</v>
      </c>
      <c r="AD11" s="147">
        <v>0.8382899628252789</v>
      </c>
      <c r="AE11" s="147">
        <v>0.85658153241650303</v>
      </c>
      <c r="AF11" s="148">
        <v>1.0074074074074069</v>
      </c>
      <c r="AG11" s="148">
        <v>0.96296296296296302</v>
      </c>
      <c r="AH11" s="148">
        <v>0.94814814814814807</v>
      </c>
      <c r="AI11" s="148">
        <v>0.93333333333333401</v>
      </c>
      <c r="AJ11" s="148">
        <v>0.92592592592592693</v>
      </c>
      <c r="AK11" s="148">
        <v>0.91851851851851907</v>
      </c>
      <c r="AL11" s="148">
        <v>0.94814814814814807</v>
      </c>
      <c r="AM11" s="138">
        <f>Y11*C11+($A$4-80)*AF11*$A$8/1000</f>
        <v>18.874528301886791</v>
      </c>
      <c r="AN11" s="138">
        <f>Z11*E11+($A$4-80)*AG11*$A$8/1000</f>
        <v>18.339622641509436</v>
      </c>
      <c r="AO11" s="138">
        <f>AA11*G11+($A$4-80)*AH11*$A$8/1000</f>
        <v>18.072169811320755</v>
      </c>
      <c r="AP11" s="138">
        <f>AB11*I11+($A$4-80)*AI11*$A$8/1000</f>
        <v>17.804716981132078</v>
      </c>
      <c r="AQ11" s="138">
        <f>AC11*K11+($A$4-80)*AJ11*$A$8/1000</f>
        <v>17.518160377358491</v>
      </c>
      <c r="AR11" s="138">
        <f>AD11*M11+($A$4-80)*AK11*$A$8/1000</f>
        <v>17.231603773584908</v>
      </c>
      <c r="AS11" s="138">
        <f>AE11*O11+($A$4-80)*AL11*$A$8/1000</f>
        <v>16.658490566037738</v>
      </c>
    </row>
    <row r="12" spans="1:45" x14ac:dyDescent="0.2">
      <c r="A12" s="168">
        <v>1500</v>
      </c>
      <c r="B12" s="52">
        <v>72</v>
      </c>
      <c r="C12" s="53">
        <f t="shared" si="7"/>
        <v>27.394811320754716</v>
      </c>
      <c r="D12" s="53">
        <f t="shared" si="0"/>
        <v>13.028773584905661</v>
      </c>
      <c r="E12" s="53">
        <f t="shared" si="8"/>
        <v>27.547641509433962</v>
      </c>
      <c r="F12" s="53">
        <f t="shared" si="1"/>
        <v>12.990566037735849</v>
      </c>
      <c r="G12" s="53">
        <f t="shared" si="9"/>
        <v>27.318396226415096</v>
      </c>
      <c r="H12" s="53">
        <f t="shared" si="2"/>
        <v>12.895047169811322</v>
      </c>
      <c r="I12" s="53">
        <f t="shared" si="10"/>
        <v>27.089150943396231</v>
      </c>
      <c r="J12" s="53">
        <f t="shared" si="3"/>
        <v>12.799528301886793</v>
      </c>
      <c r="K12" s="53">
        <f t="shared" si="11"/>
        <v>26.554245283018869</v>
      </c>
      <c r="L12" s="53">
        <f t="shared" si="4"/>
        <v>12.608490566037736</v>
      </c>
      <c r="M12" s="53">
        <f t="shared" si="12"/>
        <v>26.019339622641507</v>
      </c>
      <c r="N12" s="53">
        <f t="shared" si="5"/>
        <v>12.41745283018868</v>
      </c>
      <c r="O12" s="53">
        <f t="shared" si="13"/>
        <v>24.3</v>
      </c>
      <c r="P12" s="54">
        <f t="shared" si="6"/>
        <v>11.806132075471698</v>
      </c>
      <c r="R12" s="146">
        <v>1.1273584905660377</v>
      </c>
      <c r="S12" s="146">
        <v>1.1336477987421383</v>
      </c>
      <c r="T12" s="146">
        <v>1.1242138364779874</v>
      </c>
      <c r="U12" s="146">
        <v>1.1147798742138366</v>
      </c>
      <c r="V12" s="146">
        <v>1.0927672955974843</v>
      </c>
      <c r="W12" s="146">
        <v>1.070754716981132</v>
      </c>
      <c r="X12" s="146">
        <v>1</v>
      </c>
      <c r="Y12" s="147">
        <v>0.47559274755927478</v>
      </c>
      <c r="Z12" s="147">
        <v>0.47156726768377255</v>
      </c>
      <c r="AA12" s="147">
        <v>0.47202797202797203</v>
      </c>
      <c r="AB12" s="147">
        <v>0.47249647390691113</v>
      </c>
      <c r="AC12" s="147">
        <v>0.47482014388489208</v>
      </c>
      <c r="AD12" s="147">
        <v>0.47723935389133632</v>
      </c>
      <c r="AE12" s="147">
        <v>0.48584905660377353</v>
      </c>
      <c r="AF12" s="148">
        <v>1.0266666666666662</v>
      </c>
      <c r="AG12" s="148">
        <v>0.97333333333333294</v>
      </c>
      <c r="AH12" s="148">
        <v>0.95999999999999941</v>
      </c>
      <c r="AI12" s="148">
        <v>0.94666666666666699</v>
      </c>
      <c r="AJ12" s="148">
        <v>0.93999999999999961</v>
      </c>
      <c r="AK12" s="148">
        <v>0.93333333333333335</v>
      </c>
      <c r="AL12" s="148">
        <v>0.94666666666666699</v>
      </c>
      <c r="AM12" s="138">
        <f>Y12*C12+($A$4-80)*AF12*$A$12/1000</f>
        <v>13.028773584905661</v>
      </c>
      <c r="AN12" s="138">
        <f>Z12*E12+($A$4-80)*AG12*$A$12/1000</f>
        <v>12.990566037735849</v>
      </c>
      <c r="AO12" s="138">
        <f>AA12*G12+($A$4-80)*AH12*$A$12/1000</f>
        <v>12.895047169811322</v>
      </c>
      <c r="AP12" s="138">
        <f>AB12*I12+($A$4-80)*AI12*$A$12/1000</f>
        <v>12.799528301886793</v>
      </c>
      <c r="AQ12" s="138">
        <f>AC12*K12+($A$4-80)*AJ12*$A$12/1000</f>
        <v>12.608490566037736</v>
      </c>
      <c r="AR12" s="138">
        <f>AD12*M12+($A$4-80)*AK12*$A$12/1000</f>
        <v>12.41745283018868</v>
      </c>
      <c r="AS12" s="138">
        <f>AE12*O12+($A$4-80)*AL12*$A$12/1000</f>
        <v>11.806132075471698</v>
      </c>
    </row>
    <row r="13" spans="1:45" x14ac:dyDescent="0.2">
      <c r="A13" s="169"/>
      <c r="B13" s="55">
        <v>69.5</v>
      </c>
      <c r="C13" s="56">
        <f t="shared" si="7"/>
        <v>26.783490566037734</v>
      </c>
      <c r="D13" s="56">
        <f t="shared" si="0"/>
        <v>14.805424528301888</v>
      </c>
      <c r="E13" s="56">
        <f t="shared" si="8"/>
        <v>26.859905660377361</v>
      </c>
      <c r="F13" s="56">
        <f t="shared" si="1"/>
        <v>14.843632075471701</v>
      </c>
      <c r="G13" s="56">
        <f t="shared" si="9"/>
        <v>26.59245283018868</v>
      </c>
      <c r="H13" s="56">
        <f t="shared" si="2"/>
        <v>14.748113207547171</v>
      </c>
      <c r="I13" s="56">
        <f t="shared" si="10"/>
        <v>26.325000000000003</v>
      </c>
      <c r="J13" s="56">
        <f t="shared" si="3"/>
        <v>14.652594339622643</v>
      </c>
      <c r="K13" s="56">
        <f t="shared" si="11"/>
        <v>25.742334905660375</v>
      </c>
      <c r="L13" s="56">
        <f t="shared" si="4"/>
        <v>14.423349056603772</v>
      </c>
      <c r="M13" s="56">
        <f t="shared" si="12"/>
        <v>25.15966981132075</v>
      </c>
      <c r="N13" s="56">
        <f t="shared" si="5"/>
        <v>14.194103773584905</v>
      </c>
      <c r="O13" s="56">
        <f t="shared" si="13"/>
        <v>23.38301886792453</v>
      </c>
      <c r="P13" s="57">
        <f t="shared" si="6"/>
        <v>13.46816037735849</v>
      </c>
      <c r="R13" s="146">
        <v>1.1022012578616351</v>
      </c>
      <c r="S13" s="146">
        <v>1.1053459119496856</v>
      </c>
      <c r="T13" s="146">
        <v>1.0943396226415094</v>
      </c>
      <c r="U13" s="146">
        <v>1.0833333333333335</v>
      </c>
      <c r="V13" s="146">
        <v>1.0593553459119496</v>
      </c>
      <c r="W13" s="146">
        <v>1.0353773584905659</v>
      </c>
      <c r="X13" s="146">
        <v>0.96226415094339623</v>
      </c>
      <c r="Y13" s="147">
        <v>0.55278174037089878</v>
      </c>
      <c r="Z13" s="147">
        <v>0.55263157894736847</v>
      </c>
      <c r="AA13" s="147">
        <v>0.5545977011494253</v>
      </c>
      <c r="AB13" s="147">
        <v>0.55660377358490565</v>
      </c>
      <c r="AC13" s="147">
        <v>0.56029684601113172</v>
      </c>
      <c r="AD13" s="147">
        <v>0.56416097190584669</v>
      </c>
      <c r="AE13" s="147">
        <v>0.5759803921568627</v>
      </c>
      <c r="AF13" s="148">
        <v>1.0266666666666662</v>
      </c>
      <c r="AG13" s="148">
        <v>0.97333333333333294</v>
      </c>
      <c r="AH13" s="148">
        <v>0.95999999999999941</v>
      </c>
      <c r="AI13" s="148">
        <v>0.94666666666666699</v>
      </c>
      <c r="AJ13" s="148">
        <v>0.93999999999999961</v>
      </c>
      <c r="AK13" s="148">
        <v>0.93333333333333335</v>
      </c>
      <c r="AL13" s="148">
        <v>0.94666666666666699</v>
      </c>
      <c r="AM13" s="138">
        <f>Y13*C13+($A$4-80)*AF13*$A$12/1000</f>
        <v>14.805424528301888</v>
      </c>
      <c r="AN13" s="138">
        <f>Z13*E13+($A$4-80)*AG13*$A$12/1000</f>
        <v>14.843632075471701</v>
      </c>
      <c r="AO13" s="138">
        <f>AA13*G13+($A$4-80)*AH13*$A$12/1000</f>
        <v>14.748113207547171</v>
      </c>
      <c r="AP13" s="138">
        <f>AB13*I13+($A$4-80)*AI13*$A$12/1000</f>
        <v>14.652594339622643</v>
      </c>
      <c r="AQ13" s="138">
        <f>AC13*K13+($A$4-80)*AJ13*$A$12/1000</f>
        <v>14.423349056603772</v>
      </c>
      <c r="AR13" s="138">
        <f>AD13*M13+($A$4-80)*AK13*$A$12/1000</f>
        <v>14.194103773584905</v>
      </c>
      <c r="AS13" s="138">
        <f>AE13*O13+($A$4-80)*AL13*$A$12/1000</f>
        <v>13.46816037735849</v>
      </c>
    </row>
    <row r="14" spans="1:45" x14ac:dyDescent="0.2">
      <c r="A14" s="169"/>
      <c r="B14" s="55">
        <v>67</v>
      </c>
      <c r="C14" s="56">
        <f t="shared" si="7"/>
        <v>26.172169811320753</v>
      </c>
      <c r="D14" s="58">
        <f t="shared" si="0"/>
        <v>16.582075471698111</v>
      </c>
      <c r="E14" s="56">
        <f t="shared" si="8"/>
        <v>26.172169811320753</v>
      </c>
      <c r="F14" s="58">
        <f t="shared" si="1"/>
        <v>16.69669811320755</v>
      </c>
      <c r="G14" s="56">
        <f t="shared" si="9"/>
        <v>25.866509433962264</v>
      </c>
      <c r="H14" s="56">
        <f t="shared" si="2"/>
        <v>16.601179245283021</v>
      </c>
      <c r="I14" s="139">
        <f t="shared" si="10"/>
        <v>25.560849056603779</v>
      </c>
      <c r="J14" s="56">
        <f t="shared" si="3"/>
        <v>16.505660377358492</v>
      </c>
      <c r="K14" s="56">
        <f t="shared" si="11"/>
        <v>24.930424528301888</v>
      </c>
      <c r="L14" s="58">
        <f t="shared" si="4"/>
        <v>16.238207547169811</v>
      </c>
      <c r="M14" s="56">
        <v>24.3</v>
      </c>
      <c r="N14" s="58">
        <f t="shared" si="5"/>
        <v>15.970754716981132</v>
      </c>
      <c r="O14" s="56">
        <f t="shared" si="13"/>
        <v>22.466037735849056</v>
      </c>
      <c r="P14" s="59">
        <f t="shared" si="6"/>
        <v>15.130188679245284</v>
      </c>
      <c r="R14" s="146">
        <v>1.0770440251572326</v>
      </c>
      <c r="S14" s="146">
        <v>1.0770440251572326</v>
      </c>
      <c r="T14" s="146">
        <v>1.0644654088050314</v>
      </c>
      <c r="U14" s="146">
        <v>1.0518867924528303</v>
      </c>
      <c r="V14" s="146">
        <v>1.0259433962264151</v>
      </c>
      <c r="W14" s="146">
        <v>1</v>
      </c>
      <c r="X14" s="146">
        <v>0.92452830188679236</v>
      </c>
      <c r="Y14" s="147">
        <v>0.63357664233576638</v>
      </c>
      <c r="Z14" s="147">
        <v>0.63795620437956213</v>
      </c>
      <c r="AA14" s="147">
        <v>0.64180206794682426</v>
      </c>
      <c r="AB14" s="147">
        <v>0.64573991031390132</v>
      </c>
      <c r="AC14" s="147">
        <v>0.65134099616858232</v>
      </c>
      <c r="AD14" s="147">
        <v>0.65723270440251569</v>
      </c>
      <c r="AE14" s="147">
        <v>0.67346938775510212</v>
      </c>
      <c r="AF14" s="148">
        <v>1.0266666666666662</v>
      </c>
      <c r="AG14" s="148">
        <v>0.97333333333333294</v>
      </c>
      <c r="AH14" s="148">
        <v>0.95999999999999941</v>
      </c>
      <c r="AI14" s="148">
        <v>0.94666666666666699</v>
      </c>
      <c r="AJ14" s="148">
        <v>0.93999999999999961</v>
      </c>
      <c r="AK14" s="148">
        <v>0.93333333333333335</v>
      </c>
      <c r="AL14" s="148">
        <v>0.94666666666666699</v>
      </c>
      <c r="AM14" s="138">
        <f>Y14*C14+($A$4-80)*AF14*$A$12/1000</f>
        <v>16.582075471698111</v>
      </c>
      <c r="AN14" s="138">
        <f>Z14*E14+($A$4-80)*AG14*$A$12/1000</f>
        <v>16.69669811320755</v>
      </c>
      <c r="AO14" s="138">
        <f>AA14*G14+($A$4-80)*AH14*$A$12/1000</f>
        <v>16.601179245283021</v>
      </c>
      <c r="AP14" s="138">
        <f>AB14*I14+($A$4-80)*AI14*$A$12/1000</f>
        <v>16.505660377358492</v>
      </c>
      <c r="AQ14" s="138">
        <f>AC14*K14+($A$4-80)*AJ14*$A$12/1000</f>
        <v>16.238207547169811</v>
      </c>
      <c r="AR14" s="138">
        <f>AD14*M14+($A$4-80)*AK14*$A$12/1000</f>
        <v>15.970754716981132</v>
      </c>
      <c r="AS14" s="138">
        <f>AE14*O14+($A$4-80)*AL14*$A$12/1000</f>
        <v>15.130188679245284</v>
      </c>
    </row>
    <row r="15" spans="1:45" ht="13.5" thickBot="1" x14ac:dyDescent="0.25">
      <c r="A15" s="170"/>
      <c r="B15" s="60">
        <v>62</v>
      </c>
      <c r="C15" s="61">
        <f t="shared" si="7"/>
        <v>24.147169811320754</v>
      </c>
      <c r="D15" s="61">
        <f t="shared" si="0"/>
        <v>19.791509433962261</v>
      </c>
      <c r="E15" s="61">
        <f t="shared" si="8"/>
        <v>23.153773584905661</v>
      </c>
      <c r="F15" s="61">
        <f t="shared" si="1"/>
        <v>19.294811320754715</v>
      </c>
      <c r="G15" s="61">
        <f t="shared" si="9"/>
        <v>22.618867924528303</v>
      </c>
      <c r="H15" s="61">
        <f t="shared" si="2"/>
        <v>19.046462264150943</v>
      </c>
      <c r="I15" s="61">
        <f t="shared" si="10"/>
        <v>22.083962264150941</v>
      </c>
      <c r="J15" s="61">
        <f t="shared" si="3"/>
        <v>18.798113207547168</v>
      </c>
      <c r="K15" s="61">
        <f t="shared" si="11"/>
        <v>21.52995283018868</v>
      </c>
      <c r="L15" s="61">
        <f t="shared" si="4"/>
        <v>18.511556603773588</v>
      </c>
      <c r="M15" s="61">
        <f t="shared" ref="M15:M19" si="14">W15*$M$14</f>
        <v>20.975943396226416</v>
      </c>
      <c r="N15" s="61">
        <f t="shared" si="5"/>
        <v>18.225000000000001</v>
      </c>
      <c r="O15" s="61">
        <f t="shared" si="13"/>
        <v>19.791509433962265</v>
      </c>
      <c r="P15" s="62">
        <f t="shared" si="6"/>
        <v>17.575471698113208</v>
      </c>
      <c r="R15" s="146">
        <v>0.99371069182389937</v>
      </c>
      <c r="S15" s="146">
        <v>0.95283018867924529</v>
      </c>
      <c r="T15" s="146">
        <v>0.9308176100628931</v>
      </c>
      <c r="U15" s="146">
        <v>0.90880503144654079</v>
      </c>
      <c r="V15" s="146">
        <v>0.88600628930817604</v>
      </c>
      <c r="W15" s="146">
        <v>0.8632075471698113</v>
      </c>
      <c r="X15" s="146">
        <v>0.81446540880503138</v>
      </c>
      <c r="Y15" s="147">
        <v>0.81962025316455689</v>
      </c>
      <c r="Z15" s="147">
        <v>0.83333333333333326</v>
      </c>
      <c r="AA15" s="147">
        <v>0.84206081081081074</v>
      </c>
      <c r="AB15" s="147">
        <v>0.85121107266435991</v>
      </c>
      <c r="AC15" s="147">
        <v>0.85980479148181022</v>
      </c>
      <c r="AD15" s="147">
        <v>0.86885245901639352</v>
      </c>
      <c r="AE15" s="147">
        <v>0.88803088803088803</v>
      </c>
      <c r="AF15" s="148">
        <v>1.0266666666666662</v>
      </c>
      <c r="AG15" s="148">
        <v>0.97333333333333294</v>
      </c>
      <c r="AH15" s="148">
        <v>0.95999999999999941</v>
      </c>
      <c r="AI15" s="148">
        <v>0.94666666666666699</v>
      </c>
      <c r="AJ15" s="148">
        <v>0.93999999999999961</v>
      </c>
      <c r="AK15" s="148">
        <v>0.93333333333333335</v>
      </c>
      <c r="AL15" s="148">
        <v>0.94666666666666699</v>
      </c>
      <c r="AM15" s="138">
        <f>Y15*C15+($A$4-80)*AF15*$A$12/1000</f>
        <v>19.791509433962261</v>
      </c>
      <c r="AN15" s="138">
        <f>Z15*E15+($A$4-80)*AG15*$A$12/1000</f>
        <v>19.294811320754715</v>
      </c>
      <c r="AO15" s="138">
        <f>AA15*G15+($A$4-80)*AH15*$A$12/1000</f>
        <v>19.046462264150943</v>
      </c>
      <c r="AP15" s="138">
        <f>AB15*I15+($A$4-80)*AI15*$A$12/1000</f>
        <v>18.798113207547168</v>
      </c>
      <c r="AQ15" s="138">
        <f>AC15*K15+($A$4-80)*AJ15*$A$12/1000</f>
        <v>18.511556603773588</v>
      </c>
      <c r="AR15" s="138">
        <f>AD15*M15+($A$4-80)*AK15*$A$12/1000</f>
        <v>18.225000000000001</v>
      </c>
      <c r="AS15" s="138">
        <f>AE15*O15+($A$4-80)*AL15*$A$12/1000</f>
        <v>17.575471698113208</v>
      </c>
    </row>
    <row r="16" spans="1:45" x14ac:dyDescent="0.2">
      <c r="A16" s="168">
        <v>1650</v>
      </c>
      <c r="B16" s="52">
        <v>72</v>
      </c>
      <c r="C16" s="53">
        <f t="shared" si="7"/>
        <v>27.547641509433962</v>
      </c>
      <c r="D16" s="53">
        <f t="shared" si="0"/>
        <v>13.29622641509434</v>
      </c>
      <c r="E16" s="53">
        <f t="shared" si="8"/>
        <v>27.815094339622643</v>
      </c>
      <c r="F16" s="53">
        <f t="shared" si="1"/>
        <v>13.372641509433963</v>
      </c>
      <c r="G16" s="53">
        <f t="shared" si="9"/>
        <v>27.624056603773585</v>
      </c>
      <c r="H16" s="53">
        <f t="shared" si="2"/>
        <v>13.315330188679248</v>
      </c>
      <c r="I16" s="53">
        <f t="shared" si="10"/>
        <v>27.433018867924527</v>
      </c>
      <c r="J16" s="53">
        <f t="shared" si="3"/>
        <v>13.25801886792453</v>
      </c>
      <c r="K16" s="53">
        <f t="shared" si="11"/>
        <v>26.917216981132068</v>
      </c>
      <c r="L16" s="53">
        <f t="shared" si="4"/>
        <v>13.086084905660375</v>
      </c>
      <c r="M16" s="53">
        <f t="shared" si="14"/>
        <v>26.401415094339619</v>
      </c>
      <c r="N16" s="53">
        <f t="shared" si="5"/>
        <v>12.914150943396224</v>
      </c>
      <c r="O16" s="53">
        <f t="shared" si="13"/>
        <v>24.682075471698113</v>
      </c>
      <c r="P16" s="54">
        <f t="shared" si="6"/>
        <v>12.302830188679247</v>
      </c>
      <c r="R16" s="146">
        <v>1.1336477987421383</v>
      </c>
      <c r="S16" s="146">
        <v>1.1446540880503144</v>
      </c>
      <c r="T16" s="146">
        <v>1.1367924528301887</v>
      </c>
      <c r="U16" s="146">
        <v>1.1289308176100628</v>
      </c>
      <c r="V16" s="146">
        <v>1.107704402515723</v>
      </c>
      <c r="W16" s="146">
        <v>1.0864779874213835</v>
      </c>
      <c r="X16" s="146">
        <v>1.0157232704402515</v>
      </c>
      <c r="Y16" s="147">
        <v>0.48266296809986131</v>
      </c>
      <c r="Z16" s="147">
        <v>0.48076923076923078</v>
      </c>
      <c r="AA16" s="147">
        <v>0.48201936376210242</v>
      </c>
      <c r="AB16" s="147">
        <v>0.48328690807799451</v>
      </c>
      <c r="AC16" s="147">
        <v>0.48616039744499651</v>
      </c>
      <c r="AD16" s="147">
        <v>0.48914616497829233</v>
      </c>
      <c r="AE16" s="147">
        <v>0.49845201238390102</v>
      </c>
      <c r="AF16" s="148">
        <v>1.018181818181819</v>
      </c>
      <c r="AG16" s="148">
        <v>0.98181818181818203</v>
      </c>
      <c r="AH16" s="148">
        <v>0.96969696969696983</v>
      </c>
      <c r="AI16" s="148">
        <v>0.9575757575757573</v>
      </c>
      <c r="AJ16" s="148">
        <v>0.95151515151515087</v>
      </c>
      <c r="AK16" s="148">
        <v>0.9454545454545451</v>
      </c>
      <c r="AL16" s="148">
        <v>0.93333333333333279</v>
      </c>
      <c r="AM16" s="138">
        <f>Y16*C16+($A$4-80)*AF16*$A$16/1000</f>
        <v>13.29622641509434</v>
      </c>
      <c r="AN16" s="138">
        <f>Z16*E16+($A$4-80)*AG16*$A$16/1000</f>
        <v>13.372641509433963</v>
      </c>
      <c r="AO16" s="138">
        <f>AA16*G16+($A$4-80)*AH16*$A$16/1000</f>
        <v>13.315330188679248</v>
      </c>
      <c r="AP16" s="138">
        <f>AB16*I16+($A$4-80)*AI16*$A$16/1000</f>
        <v>13.25801886792453</v>
      </c>
      <c r="AQ16" s="138">
        <f>AC16*K16+($A$4-80)*AJ16*$A$16/1000</f>
        <v>13.086084905660375</v>
      </c>
      <c r="AR16" s="138">
        <f>AD16*M16+($A$4-80)*AK16*$A$16/1000</f>
        <v>12.914150943396224</v>
      </c>
      <c r="AS16" s="138">
        <f>AE16*O16+($A$4-80)*AL16*$A$16/1000</f>
        <v>12.302830188679247</v>
      </c>
    </row>
    <row r="17" spans="1:45" x14ac:dyDescent="0.2">
      <c r="A17" s="169"/>
      <c r="B17" s="55">
        <v>69.5</v>
      </c>
      <c r="C17" s="56">
        <f t="shared" si="7"/>
        <v>27.050943396226415</v>
      </c>
      <c r="D17" s="56">
        <f t="shared" si="0"/>
        <v>15.283018867924529</v>
      </c>
      <c r="E17" s="56">
        <f t="shared" si="8"/>
        <v>27.222877358490564</v>
      </c>
      <c r="F17" s="56">
        <f t="shared" si="1"/>
        <v>15.416745283018868</v>
      </c>
      <c r="G17" s="56">
        <f t="shared" si="9"/>
        <v>26.984080188679247</v>
      </c>
      <c r="H17" s="56">
        <f t="shared" si="2"/>
        <v>15.349882075471697</v>
      </c>
      <c r="I17" s="56">
        <f t="shared" si="10"/>
        <v>26.745283018867926</v>
      </c>
      <c r="J17" s="56">
        <f t="shared" si="3"/>
        <v>15.283018867924529</v>
      </c>
      <c r="K17" s="56">
        <f t="shared" si="11"/>
        <v>26.172169811320753</v>
      </c>
      <c r="L17" s="56">
        <f t="shared" si="4"/>
        <v>15.063325471698111</v>
      </c>
      <c r="M17" s="56">
        <f t="shared" si="14"/>
        <v>25.599056603773583</v>
      </c>
      <c r="N17" s="56">
        <f t="shared" si="5"/>
        <v>14.843632075471694</v>
      </c>
      <c r="O17" s="56">
        <f t="shared" si="13"/>
        <v>23.803301886792454</v>
      </c>
      <c r="P17" s="57">
        <f t="shared" si="6"/>
        <v>14.079481132075475</v>
      </c>
      <c r="R17" s="146">
        <v>1.1132075471698113</v>
      </c>
      <c r="S17" s="146">
        <v>1.1202830188679245</v>
      </c>
      <c r="T17" s="146">
        <v>1.1104559748427674</v>
      </c>
      <c r="U17" s="146">
        <v>1.10062893081761</v>
      </c>
      <c r="V17" s="146">
        <v>1.0770440251572326</v>
      </c>
      <c r="W17" s="146">
        <v>1.0534591194968552</v>
      </c>
      <c r="X17" s="146">
        <v>0.97955974842767291</v>
      </c>
      <c r="Y17" s="147">
        <v>0.56497175141242939</v>
      </c>
      <c r="Z17" s="147">
        <v>0.56631578947368422</v>
      </c>
      <c r="AA17" s="147">
        <v>0.56884955752212385</v>
      </c>
      <c r="AB17" s="147">
        <v>0.5714285714285714</v>
      </c>
      <c r="AC17" s="147">
        <v>0.57554744525547441</v>
      </c>
      <c r="AD17" s="147">
        <v>0.57985074626865662</v>
      </c>
      <c r="AE17" s="147">
        <v>0.59149277688603541</v>
      </c>
      <c r="AF17" s="148">
        <v>1.018181818181819</v>
      </c>
      <c r="AG17" s="148">
        <v>0.98181818181818203</v>
      </c>
      <c r="AH17" s="148">
        <v>0.96969696969696983</v>
      </c>
      <c r="AI17" s="148">
        <v>0.9575757575757573</v>
      </c>
      <c r="AJ17" s="148">
        <v>0.95151515151515087</v>
      </c>
      <c r="AK17" s="148">
        <v>0.9454545454545451</v>
      </c>
      <c r="AL17" s="148">
        <v>0.93333333333333279</v>
      </c>
      <c r="AM17" s="138">
        <f>Y17*C17+($A$4-80)*AF17*$A$16/1000</f>
        <v>15.283018867924529</v>
      </c>
      <c r="AN17" s="138">
        <f>Z17*E17+($A$4-80)*AG17*$A$16/1000</f>
        <v>15.416745283018868</v>
      </c>
      <c r="AO17" s="138">
        <f>AA17*G17+($A$4-80)*AH17*$A$16/1000</f>
        <v>15.349882075471697</v>
      </c>
      <c r="AP17" s="138">
        <f>AB17*I17+($A$4-80)*AI17*$A$16/1000</f>
        <v>15.283018867924529</v>
      </c>
      <c r="AQ17" s="138">
        <f>AC17*K17+($A$4-80)*AJ17*$A$16/1000</f>
        <v>15.063325471698111</v>
      </c>
      <c r="AR17" s="138">
        <f>AD17*M17+($A$4-80)*AK17*$A$16/1000</f>
        <v>14.843632075471694</v>
      </c>
      <c r="AS17" s="138">
        <f>AE17*O17+($A$4-80)*AL17*$A$16/1000</f>
        <v>14.079481132075475</v>
      </c>
    </row>
    <row r="18" spans="1:45" x14ac:dyDescent="0.2">
      <c r="A18" s="169"/>
      <c r="B18" s="55">
        <v>67</v>
      </c>
      <c r="C18" s="56">
        <f t="shared" si="7"/>
        <v>26.554245283018869</v>
      </c>
      <c r="D18" s="58">
        <f t="shared" si="0"/>
        <v>17.269811320754716</v>
      </c>
      <c r="E18" s="56">
        <f t="shared" si="8"/>
        <v>26.630660377358488</v>
      </c>
      <c r="F18" s="58">
        <f t="shared" si="1"/>
        <v>17.46084905660377</v>
      </c>
      <c r="G18" s="56">
        <f t="shared" si="9"/>
        <v>26.344103773584909</v>
      </c>
      <c r="H18" s="56">
        <f t="shared" si="2"/>
        <v>17.384433962264151</v>
      </c>
      <c r="I18" s="56">
        <f t="shared" si="10"/>
        <v>26.057547169811325</v>
      </c>
      <c r="J18" s="56">
        <f t="shared" si="3"/>
        <v>17.308018867924531</v>
      </c>
      <c r="K18" s="56">
        <f t="shared" si="11"/>
        <v>25.427122641509438</v>
      </c>
      <c r="L18" s="58">
        <f t="shared" si="4"/>
        <v>17.040566037735847</v>
      </c>
      <c r="M18" s="56">
        <f t="shared" si="14"/>
        <v>24.796698113207551</v>
      </c>
      <c r="N18" s="58">
        <f t="shared" si="5"/>
        <v>16.773113207547169</v>
      </c>
      <c r="O18" s="56">
        <f t="shared" si="13"/>
        <v>22.924528301886795</v>
      </c>
      <c r="P18" s="59">
        <f t="shared" si="6"/>
        <v>15.856132075471699</v>
      </c>
      <c r="R18" s="146">
        <v>1.0927672955974843</v>
      </c>
      <c r="S18" s="146">
        <v>1.0959119496855345</v>
      </c>
      <c r="T18" s="146">
        <v>1.084119496855346</v>
      </c>
      <c r="U18" s="146">
        <v>1.0723270440251573</v>
      </c>
      <c r="V18" s="146">
        <v>1.0463836477987423</v>
      </c>
      <c r="W18" s="146">
        <v>1.0204402515723272</v>
      </c>
      <c r="X18" s="146">
        <v>0.94339622641509435</v>
      </c>
      <c r="Y18" s="147">
        <v>0.65035971223021583</v>
      </c>
      <c r="Z18" s="147">
        <v>0.65566714490674316</v>
      </c>
      <c r="AA18" s="147">
        <v>0.65989847715736039</v>
      </c>
      <c r="AB18" s="147">
        <v>0.66422287390029322</v>
      </c>
      <c r="AC18" s="147">
        <v>0.67017280240420718</v>
      </c>
      <c r="AD18" s="147">
        <v>0.67642526964560856</v>
      </c>
      <c r="AE18" s="147">
        <v>0.69166666666666665</v>
      </c>
      <c r="AF18" s="148">
        <v>1.018181818181819</v>
      </c>
      <c r="AG18" s="148">
        <v>0.98181818181818203</v>
      </c>
      <c r="AH18" s="148">
        <v>0.96969696969696983</v>
      </c>
      <c r="AI18" s="148">
        <v>0.9575757575757573</v>
      </c>
      <c r="AJ18" s="148">
        <v>0.95151515151515087</v>
      </c>
      <c r="AK18" s="148">
        <v>0.9454545454545451</v>
      </c>
      <c r="AL18" s="148">
        <v>0.93333333333333279</v>
      </c>
      <c r="AM18" s="138">
        <f>Y18*C18+($A$4-80)*AF18*$A$16/1000</f>
        <v>17.269811320754716</v>
      </c>
      <c r="AN18" s="138">
        <f>Z18*E18+($A$4-80)*AG18*$A$16/1000</f>
        <v>17.46084905660377</v>
      </c>
      <c r="AO18" s="138">
        <f>AA18*G18+($A$4-80)*AH18*$A$16/1000</f>
        <v>17.384433962264151</v>
      </c>
      <c r="AP18" s="138">
        <f>AB18*I18+($A$4-80)*AI18*$A$16/1000</f>
        <v>17.308018867924531</v>
      </c>
      <c r="AQ18" s="138">
        <f>AC18*K18+($A$4-80)*AJ18*$A$16/1000</f>
        <v>17.040566037735847</v>
      </c>
      <c r="AR18" s="138">
        <f>AD18*M18+($A$4-80)*AK18*$A$16/1000</f>
        <v>16.773113207547169</v>
      </c>
      <c r="AS18" s="138">
        <f>AE18*O18+($A$4-80)*AL18*$A$16/1000</f>
        <v>15.856132075471699</v>
      </c>
    </row>
    <row r="19" spans="1:45" ht="13.5" thickBot="1" x14ac:dyDescent="0.25">
      <c r="A19" s="170"/>
      <c r="B19" s="60">
        <v>62</v>
      </c>
      <c r="C19" s="61">
        <f t="shared" si="7"/>
        <v>24.567452830188675</v>
      </c>
      <c r="D19" s="61">
        <f t="shared" si="0"/>
        <v>20.708490566037735</v>
      </c>
      <c r="E19" s="61">
        <f t="shared" si="8"/>
        <v>23.612264150943396</v>
      </c>
      <c r="F19" s="61">
        <f t="shared" si="1"/>
        <v>20.288207547169812</v>
      </c>
      <c r="G19" s="61">
        <f t="shared" si="9"/>
        <v>23.077358490566038</v>
      </c>
      <c r="H19" s="61">
        <f t="shared" si="2"/>
        <v>20.03985849056604</v>
      </c>
      <c r="I19" s="61">
        <f t="shared" si="10"/>
        <v>22.54245283018868</v>
      </c>
      <c r="J19" s="61">
        <f t="shared" si="3"/>
        <v>19.791509433962261</v>
      </c>
      <c r="K19" s="61">
        <f t="shared" si="11"/>
        <v>21.96933962264151</v>
      </c>
      <c r="L19" s="61">
        <f t="shared" si="4"/>
        <v>19.504952830188678</v>
      </c>
      <c r="M19" s="61">
        <f t="shared" si="14"/>
        <v>21.39622641509434</v>
      </c>
      <c r="N19" s="61">
        <f t="shared" si="5"/>
        <v>19.218396226415091</v>
      </c>
      <c r="O19" s="61">
        <f t="shared" si="13"/>
        <v>20.135377358490565</v>
      </c>
      <c r="P19" s="62">
        <f t="shared" si="6"/>
        <v>18.492452830188679</v>
      </c>
      <c r="R19" s="146">
        <v>1.0110062893081759</v>
      </c>
      <c r="S19" s="146">
        <v>0.97169811320754707</v>
      </c>
      <c r="T19" s="146">
        <v>0.94968553459119498</v>
      </c>
      <c r="U19" s="146">
        <v>0.92767295597484278</v>
      </c>
      <c r="V19" s="146">
        <v>0.90408805031446537</v>
      </c>
      <c r="W19" s="146">
        <v>0.88050314465408808</v>
      </c>
      <c r="X19" s="146">
        <v>0.82861635220125784</v>
      </c>
      <c r="Y19" s="147">
        <v>0.84292379471228629</v>
      </c>
      <c r="Z19" s="147">
        <v>0.85922330097087385</v>
      </c>
      <c r="AA19" s="147">
        <v>0.86837748344370869</v>
      </c>
      <c r="AB19" s="147">
        <v>0.87796610169491518</v>
      </c>
      <c r="AC19" s="147">
        <v>0.88782608695652165</v>
      </c>
      <c r="AD19" s="147">
        <v>0.89821428571428563</v>
      </c>
      <c r="AE19" s="147">
        <v>0.91840607210626179</v>
      </c>
      <c r="AF19" s="148">
        <v>1.018181818181819</v>
      </c>
      <c r="AG19" s="148">
        <v>0.98181818181818203</v>
      </c>
      <c r="AH19" s="148">
        <v>0.96969696969696983</v>
      </c>
      <c r="AI19" s="148">
        <v>0.9575757575757573</v>
      </c>
      <c r="AJ19" s="148">
        <v>0.95151515151515087</v>
      </c>
      <c r="AK19" s="148">
        <v>0.9454545454545451</v>
      </c>
      <c r="AL19" s="148">
        <v>0.93333333333333279</v>
      </c>
      <c r="AM19" s="138">
        <f>Y19*C19+($A$4-80)*AF19*$A$16/1000</f>
        <v>20.708490566037735</v>
      </c>
      <c r="AN19" s="138">
        <f>Z19*E19+($A$4-80)*AG19*$A$16/1000</f>
        <v>20.288207547169812</v>
      </c>
      <c r="AO19" s="138">
        <f>AA19*G19+($A$4-80)*AH19*$A$16/1000</f>
        <v>20.03985849056604</v>
      </c>
      <c r="AP19" s="138">
        <f>AB19*I19+($A$4-80)*AI19*$A$16/1000</f>
        <v>19.791509433962261</v>
      </c>
      <c r="AQ19" s="138">
        <f>AC19*K19+($A$4-80)*AJ19*$A$16/1000</f>
        <v>19.504952830188678</v>
      </c>
      <c r="AR19" s="138">
        <f>AD19*M19+($A$4-80)*AK19*$A$16/1000</f>
        <v>19.218396226415091</v>
      </c>
      <c r="AS19" s="138">
        <f>AE19*O19+($A$4-80)*AL19*$A$16/1000</f>
        <v>18.492452830188679</v>
      </c>
    </row>
    <row r="22" spans="1:45" x14ac:dyDescent="0.2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</row>
    <row r="23" spans="1:45" ht="15" x14ac:dyDescent="0.25">
      <c r="B23" s="64"/>
      <c r="C23" s="64"/>
      <c r="D23" s="64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</row>
    <row r="24" spans="1:45" ht="12.75" customHeight="1" x14ac:dyDescent="0.25">
      <c r="B24" s="65"/>
      <c r="C24" s="65"/>
      <c r="D24" s="65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</row>
    <row r="25" spans="1:45" ht="15" x14ac:dyDescent="0.2">
      <c r="A25" s="174"/>
      <c r="B25" s="175"/>
      <c r="C25" s="145"/>
      <c r="D25" s="145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</row>
    <row r="26" spans="1:45" ht="15" x14ac:dyDescent="0.2">
      <c r="A26" s="174"/>
      <c r="B26" s="174"/>
      <c r="C26" s="144"/>
      <c r="D26" s="144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</row>
    <row r="27" spans="1:45" ht="15" x14ac:dyDescent="0.2">
      <c r="A27" s="174"/>
      <c r="B27" s="174"/>
      <c r="C27" s="144"/>
      <c r="D27" s="144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</row>
    <row r="28" spans="1:45" x14ac:dyDescent="0.2">
      <c r="A28" s="173"/>
      <c r="B28" s="66"/>
      <c r="C28" s="66"/>
      <c r="D28" s="66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1:45" x14ac:dyDescent="0.2">
      <c r="A29" s="173"/>
      <c r="B29" s="66"/>
      <c r="C29" s="66"/>
      <c r="D29" s="66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1:45" x14ac:dyDescent="0.2">
      <c r="A30" s="173"/>
      <c r="B30" s="66"/>
      <c r="C30" s="66"/>
      <c r="D30" s="66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1:45" x14ac:dyDescent="0.2">
      <c r="A31" s="173"/>
      <c r="B31" s="66"/>
      <c r="C31" s="66"/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1:45" x14ac:dyDescent="0.2">
      <c r="A32" s="173"/>
      <c r="B32" s="66"/>
      <c r="C32" s="66"/>
      <c r="D32" s="66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1:16" x14ac:dyDescent="0.2">
      <c r="A33" s="173"/>
      <c r="B33" s="66"/>
      <c r="C33" s="66"/>
      <c r="D33" s="66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1:16" x14ac:dyDescent="0.2">
      <c r="A34" s="173"/>
      <c r="B34" s="66"/>
      <c r="C34" s="66"/>
      <c r="D34" s="66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1:16" x14ac:dyDescent="0.2">
      <c r="A35" s="173"/>
      <c r="B35" s="66"/>
      <c r="C35" s="66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1:16" x14ac:dyDescent="0.2">
      <c r="A36" s="173"/>
      <c r="B36" s="66"/>
      <c r="C36" s="66"/>
      <c r="D36" s="66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1:16" x14ac:dyDescent="0.2">
      <c r="A37" s="173"/>
      <c r="B37" s="66"/>
      <c r="C37" s="66"/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x14ac:dyDescent="0.2">
      <c r="A38" s="173"/>
      <c r="B38" s="66"/>
      <c r="C38" s="66"/>
      <c r="D38" s="66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1:16" x14ac:dyDescent="0.2">
      <c r="A39" s="173"/>
      <c r="B39" s="66"/>
      <c r="C39" s="66"/>
      <c r="D39" s="66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x14ac:dyDescent="0.2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</row>
    <row r="41" spans="1:16" x14ac:dyDescent="0.2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</row>
    <row r="42" spans="1:16" ht="15" x14ac:dyDescent="0.25">
      <c r="A42" s="174"/>
      <c r="B42" s="174"/>
      <c r="C42" s="144"/>
      <c r="D42" s="144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</row>
    <row r="43" spans="1:16" ht="15" x14ac:dyDescent="0.2">
      <c r="A43" s="174"/>
      <c r="B43" s="174"/>
      <c r="C43" s="144"/>
      <c r="D43" s="144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</row>
    <row r="44" spans="1:16" ht="15" x14ac:dyDescent="0.2">
      <c r="A44" s="174"/>
      <c r="B44" s="175"/>
      <c r="C44" s="145"/>
      <c r="D44" s="145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</row>
    <row r="45" spans="1:16" ht="15" x14ac:dyDescent="0.2">
      <c r="A45" s="174"/>
      <c r="B45" s="174"/>
      <c r="C45" s="144"/>
      <c r="D45" s="144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</row>
    <row r="46" spans="1:16" ht="15" x14ac:dyDescent="0.2">
      <c r="A46" s="174"/>
      <c r="B46" s="174"/>
      <c r="C46" s="144"/>
      <c r="D46" s="144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</row>
    <row r="47" spans="1:16" x14ac:dyDescent="0.2">
      <c r="A47" s="173"/>
      <c r="B47" s="66"/>
      <c r="C47" s="66"/>
      <c r="D47" s="66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1:16" x14ac:dyDescent="0.2">
      <c r="A48" s="173"/>
      <c r="B48" s="66"/>
      <c r="C48" s="66"/>
      <c r="D48" s="66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1:16" x14ac:dyDescent="0.2">
      <c r="A49" s="173"/>
      <c r="B49" s="66"/>
      <c r="C49" s="66"/>
      <c r="D49" s="66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1:16" x14ac:dyDescent="0.2">
      <c r="A50" s="173"/>
      <c r="B50" s="66"/>
      <c r="C50" s="66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1:16" x14ac:dyDescent="0.2">
      <c r="A51" s="173"/>
      <c r="B51" s="66"/>
      <c r="C51" s="66"/>
      <c r="D51" s="66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1:16" x14ac:dyDescent="0.2">
      <c r="A52" s="173"/>
      <c r="B52" s="66"/>
      <c r="C52" s="66"/>
      <c r="D52" s="66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1:16" x14ac:dyDescent="0.2">
      <c r="A53" s="173"/>
      <c r="B53" s="66"/>
      <c r="C53" s="66"/>
      <c r="D53" s="66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1:16" x14ac:dyDescent="0.2">
      <c r="A54" s="173"/>
      <c r="B54" s="66"/>
      <c r="C54" s="66"/>
      <c r="D54" s="66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1:16" x14ac:dyDescent="0.2">
      <c r="A55" s="173"/>
      <c r="B55" s="66"/>
      <c r="C55" s="66"/>
      <c r="D55" s="66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1:16" x14ac:dyDescent="0.2">
      <c r="A56" s="173"/>
      <c r="B56" s="66"/>
      <c r="C56" s="66"/>
      <c r="D56" s="66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1:16" x14ac:dyDescent="0.2">
      <c r="A57" s="173"/>
      <c r="B57" s="66"/>
      <c r="C57" s="66"/>
      <c r="D57" s="66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1:16" x14ac:dyDescent="0.2">
      <c r="A58" s="173"/>
      <c r="B58" s="66"/>
      <c r="C58" s="66"/>
      <c r="D58" s="66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6" x14ac:dyDescent="0.2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</row>
    <row r="60" spans="1:16" x14ac:dyDescent="0.2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ht="15" x14ac:dyDescent="0.25">
      <c r="A61" s="174"/>
      <c r="B61" s="174"/>
      <c r="C61" s="144"/>
      <c r="D61" s="144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</row>
    <row r="62" spans="1:16" ht="15" x14ac:dyDescent="0.2">
      <c r="A62" s="174"/>
      <c r="B62" s="174"/>
      <c r="C62" s="144"/>
      <c r="D62" s="144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</row>
    <row r="63" spans="1:16" ht="15" x14ac:dyDescent="0.2">
      <c r="A63" s="174"/>
      <c r="B63" s="175"/>
      <c r="C63" s="145"/>
      <c r="D63" s="145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</row>
    <row r="64" spans="1:16" ht="15" x14ac:dyDescent="0.2">
      <c r="A64" s="174"/>
      <c r="B64" s="174"/>
      <c r="C64" s="144"/>
      <c r="D64" s="144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</row>
    <row r="65" spans="1:16" ht="15" x14ac:dyDescent="0.2">
      <c r="A65" s="174"/>
      <c r="B65" s="174"/>
      <c r="C65" s="144"/>
      <c r="D65" s="144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</row>
    <row r="66" spans="1:16" x14ac:dyDescent="0.2">
      <c r="A66" s="173"/>
      <c r="B66" s="66"/>
      <c r="C66" s="66"/>
      <c r="D66" s="66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1:16" x14ac:dyDescent="0.2">
      <c r="A67" s="173"/>
      <c r="B67" s="66"/>
      <c r="C67" s="66"/>
      <c r="D67" s="66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1:16" x14ac:dyDescent="0.2">
      <c r="A68" s="173"/>
      <c r="B68" s="66"/>
      <c r="C68" s="66"/>
      <c r="D68" s="66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1:16" x14ac:dyDescent="0.2">
      <c r="A69" s="173"/>
      <c r="B69" s="66"/>
      <c r="C69" s="66"/>
      <c r="D69" s="66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1:16" x14ac:dyDescent="0.2">
      <c r="A70" s="173"/>
      <c r="B70" s="66"/>
      <c r="C70" s="66"/>
      <c r="D70" s="66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1:16" x14ac:dyDescent="0.2">
      <c r="A71" s="173"/>
      <c r="B71" s="66"/>
      <c r="C71" s="66"/>
      <c r="D71" s="66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1:16" x14ac:dyDescent="0.2">
      <c r="A72" s="173"/>
      <c r="B72" s="66"/>
      <c r="C72" s="66"/>
      <c r="D72" s="66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1:16" x14ac:dyDescent="0.2">
      <c r="A73" s="173"/>
      <c r="B73" s="66"/>
      <c r="C73" s="66"/>
      <c r="D73" s="66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1:16" x14ac:dyDescent="0.2">
      <c r="A74" s="173"/>
      <c r="B74" s="66"/>
      <c r="C74" s="66"/>
      <c r="D74" s="66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1:16" x14ac:dyDescent="0.2">
      <c r="A75" s="173"/>
      <c r="B75" s="66"/>
      <c r="C75" s="66"/>
      <c r="D75" s="66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1:16" x14ac:dyDescent="0.2">
      <c r="A76" s="173"/>
      <c r="B76" s="66"/>
      <c r="C76" s="66"/>
      <c r="D76" s="66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1:16" x14ac:dyDescent="0.2">
      <c r="A77" s="173"/>
      <c r="B77" s="66"/>
      <c r="C77" s="66"/>
      <c r="D77" s="66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1:16" x14ac:dyDescent="0.2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</row>
    <row r="79" spans="1:16" x14ac:dyDescent="0.2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</row>
    <row r="80" spans="1:16" ht="15" x14ac:dyDescent="0.25">
      <c r="A80" s="174"/>
      <c r="B80" s="174"/>
      <c r="C80" s="144"/>
      <c r="D80" s="144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</row>
    <row r="81" spans="1:16" ht="15" x14ac:dyDescent="0.2">
      <c r="A81" s="174"/>
      <c r="B81" s="174"/>
      <c r="C81" s="144"/>
      <c r="D81" s="144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</row>
    <row r="82" spans="1:16" ht="15" x14ac:dyDescent="0.2">
      <c r="A82" s="174"/>
      <c r="B82" s="175"/>
      <c r="C82" s="145"/>
      <c r="D82" s="145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</row>
    <row r="83" spans="1:16" ht="15" x14ac:dyDescent="0.2">
      <c r="A83" s="174"/>
      <c r="B83" s="174"/>
      <c r="C83" s="144"/>
      <c r="D83" s="144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</row>
    <row r="84" spans="1:16" ht="15" x14ac:dyDescent="0.2">
      <c r="A84" s="174"/>
      <c r="B84" s="174"/>
      <c r="C84" s="144"/>
      <c r="D84" s="144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</row>
    <row r="85" spans="1:16" x14ac:dyDescent="0.2">
      <c r="A85" s="173"/>
      <c r="B85" s="66"/>
      <c r="C85" s="66"/>
      <c r="D85" s="66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1:16" x14ac:dyDescent="0.2">
      <c r="A86" s="173"/>
      <c r="B86" s="66"/>
      <c r="C86" s="66"/>
      <c r="D86" s="66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1:16" x14ac:dyDescent="0.2">
      <c r="A87" s="173"/>
      <c r="B87" s="66"/>
      <c r="C87" s="66"/>
      <c r="D87" s="66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1:16" x14ac:dyDescent="0.2">
      <c r="A88" s="173"/>
      <c r="B88" s="66"/>
      <c r="C88" s="66"/>
      <c r="D88" s="66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1:16" x14ac:dyDescent="0.2">
      <c r="A89" s="173"/>
      <c r="B89" s="66"/>
      <c r="C89" s="66"/>
      <c r="D89" s="66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1:16" x14ac:dyDescent="0.2">
      <c r="A90" s="173"/>
      <c r="B90" s="66"/>
      <c r="C90" s="66"/>
      <c r="D90" s="66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1:16" x14ac:dyDescent="0.2">
      <c r="A91" s="173"/>
      <c r="B91" s="66"/>
      <c r="C91" s="66"/>
      <c r="D91" s="66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1:16" x14ac:dyDescent="0.2">
      <c r="A92" s="173"/>
      <c r="B92" s="66"/>
      <c r="C92" s="66"/>
      <c r="D92" s="66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1:16" x14ac:dyDescent="0.2">
      <c r="A93" s="173"/>
      <c r="B93" s="66"/>
      <c r="C93" s="66"/>
      <c r="D93" s="66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1:16" x14ac:dyDescent="0.2">
      <c r="A94" s="173"/>
      <c r="B94" s="66"/>
      <c r="C94" s="66"/>
      <c r="D94" s="66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1:16" x14ac:dyDescent="0.2">
      <c r="A95" s="173"/>
      <c r="B95" s="66"/>
      <c r="C95" s="66"/>
      <c r="D95" s="66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1:16" x14ac:dyDescent="0.2">
      <c r="A96" s="173"/>
      <c r="B96" s="66"/>
      <c r="C96" s="66"/>
      <c r="D96" s="66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1:16" x14ac:dyDescent="0.2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</row>
    <row r="98" spans="1:16" x14ac:dyDescent="0.2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</row>
    <row r="99" spans="1:16" ht="15" x14ac:dyDescent="0.25">
      <c r="A99" s="174"/>
      <c r="B99" s="174"/>
      <c r="C99" s="144"/>
      <c r="D99" s="144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</row>
    <row r="100" spans="1:16" ht="15" x14ac:dyDescent="0.2">
      <c r="A100" s="174"/>
      <c r="B100" s="174"/>
      <c r="C100" s="144"/>
      <c r="D100" s="144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</row>
    <row r="101" spans="1:16" ht="15" x14ac:dyDescent="0.2">
      <c r="A101" s="174"/>
      <c r="B101" s="175"/>
      <c r="C101" s="145"/>
      <c r="D101" s="145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</row>
    <row r="102" spans="1:16" ht="15" x14ac:dyDescent="0.2">
      <c r="A102" s="174"/>
      <c r="B102" s="174"/>
      <c r="C102" s="144"/>
      <c r="D102" s="144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</row>
    <row r="103" spans="1:16" ht="15" x14ac:dyDescent="0.2">
      <c r="A103" s="174"/>
      <c r="B103" s="174"/>
      <c r="C103" s="144"/>
      <c r="D103" s="144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</row>
    <row r="104" spans="1:16" x14ac:dyDescent="0.2">
      <c r="A104" s="173"/>
      <c r="B104" s="66"/>
      <c r="C104" s="66"/>
      <c r="D104" s="66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1:16" x14ac:dyDescent="0.2">
      <c r="A105" s="173"/>
      <c r="B105" s="66"/>
      <c r="C105" s="66"/>
      <c r="D105" s="66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1:16" x14ac:dyDescent="0.2">
      <c r="A106" s="173"/>
      <c r="B106" s="66"/>
      <c r="C106" s="66"/>
      <c r="D106" s="66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1:16" x14ac:dyDescent="0.2">
      <c r="A107" s="173"/>
      <c r="B107" s="66"/>
      <c r="C107" s="66"/>
      <c r="D107" s="66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1:16" x14ac:dyDescent="0.2">
      <c r="A108" s="173"/>
      <c r="B108" s="66"/>
      <c r="C108" s="66"/>
      <c r="D108" s="66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1:16" x14ac:dyDescent="0.2">
      <c r="A109" s="173"/>
      <c r="B109" s="66"/>
      <c r="C109" s="66"/>
      <c r="D109" s="66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1:16" x14ac:dyDescent="0.2">
      <c r="A110" s="173"/>
      <c r="B110" s="66"/>
      <c r="C110" s="66"/>
      <c r="D110" s="66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  <row r="111" spans="1:16" x14ac:dyDescent="0.2">
      <c r="A111" s="173"/>
      <c r="B111" s="66"/>
      <c r="C111" s="66"/>
      <c r="D111" s="66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</row>
    <row r="112" spans="1:16" x14ac:dyDescent="0.2">
      <c r="A112" s="173"/>
      <c r="B112" s="66"/>
      <c r="C112" s="66"/>
      <c r="D112" s="66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</row>
    <row r="113" spans="1:16" x14ac:dyDescent="0.2">
      <c r="A113" s="173"/>
      <c r="B113" s="66"/>
      <c r="C113" s="66"/>
      <c r="D113" s="66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</row>
    <row r="114" spans="1:16" x14ac:dyDescent="0.2">
      <c r="A114" s="173"/>
      <c r="B114" s="66"/>
      <c r="C114" s="66"/>
      <c r="D114" s="66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</row>
    <row r="115" spans="1:16" x14ac:dyDescent="0.2">
      <c r="A115" s="173"/>
      <c r="B115" s="66"/>
      <c r="C115" s="66"/>
      <c r="D115" s="66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</row>
    <row r="116" spans="1:16" x14ac:dyDescent="0.2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</row>
    <row r="117" spans="1:16" x14ac:dyDescent="0.2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</row>
    <row r="118" spans="1:16" ht="15" x14ac:dyDescent="0.25">
      <c r="A118" s="174"/>
      <c r="B118" s="174"/>
      <c r="C118" s="144"/>
      <c r="D118" s="144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</row>
    <row r="119" spans="1:16" ht="15" x14ac:dyDescent="0.2">
      <c r="A119" s="174"/>
      <c r="B119" s="174"/>
      <c r="C119" s="144"/>
      <c r="D119" s="144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</row>
    <row r="120" spans="1:16" ht="15" x14ac:dyDescent="0.2">
      <c r="A120" s="174"/>
      <c r="B120" s="175"/>
      <c r="C120" s="145"/>
      <c r="D120" s="145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</row>
    <row r="121" spans="1:16" ht="15" x14ac:dyDescent="0.2">
      <c r="A121" s="174"/>
      <c r="B121" s="174"/>
      <c r="C121" s="144"/>
      <c r="D121" s="144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</row>
    <row r="122" spans="1:16" ht="15" x14ac:dyDescent="0.2">
      <c r="A122" s="174"/>
      <c r="B122" s="174"/>
      <c r="C122" s="144"/>
      <c r="D122" s="144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x14ac:dyDescent="0.2">
      <c r="A123" s="173"/>
      <c r="B123" s="66"/>
      <c r="C123" s="66"/>
      <c r="D123" s="66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</row>
    <row r="124" spans="1:16" x14ac:dyDescent="0.2">
      <c r="A124" s="173"/>
      <c r="B124" s="66"/>
      <c r="C124" s="66"/>
      <c r="D124" s="66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</row>
    <row r="125" spans="1:16" x14ac:dyDescent="0.2">
      <c r="A125" s="173"/>
      <c r="B125" s="66"/>
      <c r="C125" s="66"/>
      <c r="D125" s="66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</row>
    <row r="126" spans="1:16" x14ac:dyDescent="0.2">
      <c r="A126" s="173"/>
      <c r="B126" s="66"/>
      <c r="C126" s="66"/>
      <c r="D126" s="66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</row>
    <row r="127" spans="1:16" x14ac:dyDescent="0.2">
      <c r="A127" s="173"/>
      <c r="B127" s="66"/>
      <c r="C127" s="66"/>
      <c r="D127" s="66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</row>
    <row r="128" spans="1:16" x14ac:dyDescent="0.2">
      <c r="A128" s="173"/>
      <c r="B128" s="66"/>
      <c r="C128" s="66"/>
      <c r="D128" s="66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</row>
    <row r="129" spans="1:16" x14ac:dyDescent="0.2">
      <c r="A129" s="173"/>
      <c r="B129" s="66"/>
      <c r="C129" s="66"/>
      <c r="D129" s="66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</row>
    <row r="130" spans="1:16" x14ac:dyDescent="0.2">
      <c r="A130" s="173"/>
      <c r="B130" s="66"/>
      <c r="C130" s="66"/>
      <c r="D130" s="66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</row>
    <row r="131" spans="1:16" x14ac:dyDescent="0.2">
      <c r="A131" s="173"/>
      <c r="B131" s="66"/>
      <c r="C131" s="66"/>
      <c r="D131" s="66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</row>
    <row r="132" spans="1:16" x14ac:dyDescent="0.2">
      <c r="A132" s="173"/>
      <c r="B132" s="66"/>
      <c r="C132" s="66"/>
      <c r="D132" s="66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</row>
    <row r="133" spans="1:16" x14ac:dyDescent="0.2">
      <c r="A133" s="173"/>
      <c r="B133" s="66"/>
      <c r="C133" s="66"/>
      <c r="D133" s="66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</row>
    <row r="134" spans="1:16" x14ac:dyDescent="0.2">
      <c r="A134" s="173"/>
      <c r="B134" s="66"/>
      <c r="C134" s="66"/>
      <c r="D134" s="66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</row>
    <row r="135" spans="1:16" x14ac:dyDescent="0.2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</row>
    <row r="136" spans="1:16" x14ac:dyDescent="0.2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</row>
    <row r="137" spans="1:16" x14ac:dyDescent="0.2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</row>
    <row r="138" spans="1:16" x14ac:dyDescent="0.2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</row>
  </sheetData>
  <mergeCells count="220">
    <mergeCell ref="A131:A134"/>
    <mergeCell ref="M121:M122"/>
    <mergeCell ref="N121:N122"/>
    <mergeCell ref="O121:O122"/>
    <mergeCell ref="P121:P122"/>
    <mergeCell ref="A123:A126"/>
    <mergeCell ref="A127:A130"/>
    <mergeCell ref="M120:N120"/>
    <mergeCell ref="O120:P120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A120:A122"/>
    <mergeCell ref="B120:B122"/>
    <mergeCell ref="E120:F120"/>
    <mergeCell ref="G120:H120"/>
    <mergeCell ref="I120:J120"/>
    <mergeCell ref="K120:L120"/>
    <mergeCell ref="A112:A115"/>
    <mergeCell ref="A118:B119"/>
    <mergeCell ref="E118:P118"/>
    <mergeCell ref="E119:F119"/>
    <mergeCell ref="G119:H119"/>
    <mergeCell ref="I119:J119"/>
    <mergeCell ref="K119:L119"/>
    <mergeCell ref="M119:N119"/>
    <mergeCell ref="O119:P119"/>
    <mergeCell ref="M102:M103"/>
    <mergeCell ref="N102:N103"/>
    <mergeCell ref="O102:O103"/>
    <mergeCell ref="P102:P103"/>
    <mergeCell ref="A104:A107"/>
    <mergeCell ref="A108:A111"/>
    <mergeCell ref="M101:N101"/>
    <mergeCell ref="O101:P101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A101:A103"/>
    <mergeCell ref="B101:B103"/>
    <mergeCell ref="E101:F101"/>
    <mergeCell ref="G101:H101"/>
    <mergeCell ref="I101:J101"/>
    <mergeCell ref="K101:L101"/>
    <mergeCell ref="A93:A96"/>
    <mergeCell ref="A99:B100"/>
    <mergeCell ref="E99:P99"/>
    <mergeCell ref="E100:F100"/>
    <mergeCell ref="G100:H100"/>
    <mergeCell ref="I100:J100"/>
    <mergeCell ref="K100:L100"/>
    <mergeCell ref="M100:N100"/>
    <mergeCell ref="O100:P100"/>
    <mergeCell ref="M83:M84"/>
    <mergeCell ref="N83:N84"/>
    <mergeCell ref="O83:O84"/>
    <mergeCell ref="P83:P84"/>
    <mergeCell ref="A85:A88"/>
    <mergeCell ref="A89:A92"/>
    <mergeCell ref="M82:N82"/>
    <mergeCell ref="O82:P82"/>
    <mergeCell ref="E83:E84"/>
    <mergeCell ref="F83:F84"/>
    <mergeCell ref="G83:G84"/>
    <mergeCell ref="H83:H84"/>
    <mergeCell ref="I83:I84"/>
    <mergeCell ref="J83:J84"/>
    <mergeCell ref="K83:K84"/>
    <mergeCell ref="L83:L84"/>
    <mergeCell ref="A82:A84"/>
    <mergeCell ref="B82:B84"/>
    <mergeCell ref="E82:F82"/>
    <mergeCell ref="G82:H82"/>
    <mergeCell ref="I82:J82"/>
    <mergeCell ref="K82:L82"/>
    <mergeCell ref="A74:A77"/>
    <mergeCell ref="A80:B81"/>
    <mergeCell ref="E80:P80"/>
    <mergeCell ref="E81:F81"/>
    <mergeCell ref="G81:H81"/>
    <mergeCell ref="I81:J81"/>
    <mergeCell ref="K81:L81"/>
    <mergeCell ref="M81:N81"/>
    <mergeCell ref="O81:P81"/>
    <mergeCell ref="M64:M65"/>
    <mergeCell ref="N64:N65"/>
    <mergeCell ref="O64:O65"/>
    <mergeCell ref="P64:P65"/>
    <mergeCell ref="A66:A69"/>
    <mergeCell ref="A70:A73"/>
    <mergeCell ref="M63:N63"/>
    <mergeCell ref="O63:P63"/>
    <mergeCell ref="E64:E65"/>
    <mergeCell ref="F64:F65"/>
    <mergeCell ref="G64:G65"/>
    <mergeCell ref="H64:H65"/>
    <mergeCell ref="I64:I65"/>
    <mergeCell ref="J64:J65"/>
    <mergeCell ref="K64:K65"/>
    <mergeCell ref="L64:L65"/>
    <mergeCell ref="A63:A65"/>
    <mergeCell ref="B63:B65"/>
    <mergeCell ref="E63:F63"/>
    <mergeCell ref="G63:H63"/>
    <mergeCell ref="I63:J63"/>
    <mergeCell ref="K63:L63"/>
    <mergeCell ref="A55:A58"/>
    <mergeCell ref="A61:B62"/>
    <mergeCell ref="E61:P61"/>
    <mergeCell ref="E62:F62"/>
    <mergeCell ref="G62:H62"/>
    <mergeCell ref="I62:J62"/>
    <mergeCell ref="K62:L62"/>
    <mergeCell ref="M62:N62"/>
    <mergeCell ref="O62:P62"/>
    <mergeCell ref="M45:M46"/>
    <mergeCell ref="N45:N46"/>
    <mergeCell ref="O45:O46"/>
    <mergeCell ref="P45:P46"/>
    <mergeCell ref="A47:A50"/>
    <mergeCell ref="A51:A54"/>
    <mergeCell ref="M44:N44"/>
    <mergeCell ref="O44:P44"/>
    <mergeCell ref="E45:E46"/>
    <mergeCell ref="F45:F46"/>
    <mergeCell ref="G45:G46"/>
    <mergeCell ref="H45:H46"/>
    <mergeCell ref="I45:I46"/>
    <mergeCell ref="J45:J46"/>
    <mergeCell ref="K45:K46"/>
    <mergeCell ref="L45:L46"/>
    <mergeCell ref="A44:A46"/>
    <mergeCell ref="B44:B46"/>
    <mergeCell ref="E44:F44"/>
    <mergeCell ref="G44:H44"/>
    <mergeCell ref="I44:J44"/>
    <mergeCell ref="K44:L44"/>
    <mergeCell ref="A36:A39"/>
    <mergeCell ref="A42:B43"/>
    <mergeCell ref="E42:P42"/>
    <mergeCell ref="E43:F43"/>
    <mergeCell ref="G43:H43"/>
    <mergeCell ref="I43:J43"/>
    <mergeCell ref="K43:L43"/>
    <mergeCell ref="M43:N43"/>
    <mergeCell ref="O43:P43"/>
    <mergeCell ref="M26:M27"/>
    <mergeCell ref="N26:N27"/>
    <mergeCell ref="O26:O27"/>
    <mergeCell ref="P26:P27"/>
    <mergeCell ref="A28:A31"/>
    <mergeCell ref="A32:A35"/>
    <mergeCell ref="M25:N25"/>
    <mergeCell ref="O25:P25"/>
    <mergeCell ref="E26:E27"/>
    <mergeCell ref="F26:F27"/>
    <mergeCell ref="G26:G27"/>
    <mergeCell ref="H26:H27"/>
    <mergeCell ref="I26:I27"/>
    <mergeCell ref="J26:J27"/>
    <mergeCell ref="K26:K27"/>
    <mergeCell ref="L26:L27"/>
    <mergeCell ref="A25:A27"/>
    <mergeCell ref="B25:B27"/>
    <mergeCell ref="E25:F25"/>
    <mergeCell ref="G25:H25"/>
    <mergeCell ref="I25:J25"/>
    <mergeCell ref="K25:L25"/>
    <mergeCell ref="A8:A11"/>
    <mergeCell ref="A12:A15"/>
    <mergeCell ref="A16:A19"/>
    <mergeCell ref="E23:P23"/>
    <mergeCell ref="E24:F24"/>
    <mergeCell ref="G24:H24"/>
    <mergeCell ref="I24:J24"/>
    <mergeCell ref="K24:L24"/>
    <mergeCell ref="M24:N24"/>
    <mergeCell ref="O24:P24"/>
    <mergeCell ref="K6:K7"/>
    <mergeCell ref="L6:L7"/>
    <mergeCell ref="M6:M7"/>
    <mergeCell ref="N6:N7"/>
    <mergeCell ref="O6:O7"/>
    <mergeCell ref="P6:P7"/>
    <mergeCell ref="K5:L5"/>
    <mergeCell ref="M5:N5"/>
    <mergeCell ref="O5:P5"/>
    <mergeCell ref="C6:C7"/>
    <mergeCell ref="D6:D7"/>
    <mergeCell ref="E6:E7"/>
    <mergeCell ref="F6:F7"/>
    <mergeCell ref="G6:G7"/>
    <mergeCell ref="H6:H7"/>
    <mergeCell ref="I6:I7"/>
    <mergeCell ref="A5:A7"/>
    <mergeCell ref="B5:B7"/>
    <mergeCell ref="C5:D5"/>
    <mergeCell ref="E5:F5"/>
    <mergeCell ref="G5:H5"/>
    <mergeCell ref="I5:J5"/>
    <mergeCell ref="J6:J7"/>
    <mergeCell ref="A3:B3"/>
    <mergeCell ref="C3:P3"/>
    <mergeCell ref="C4:D4"/>
    <mergeCell ref="E4:F4"/>
    <mergeCell ref="G4:H4"/>
    <mergeCell ref="I4:J4"/>
    <mergeCell ref="K4:L4"/>
    <mergeCell ref="M4:N4"/>
    <mergeCell ref="O4:P4"/>
  </mergeCells>
  <pageMargins left="0.25" right="0.25" top="0.75" bottom="0.75" header="0.5" footer="0.5"/>
  <pageSetup scale="2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5" tint="-0.249977111117893"/>
    <pageSetUpPr fitToPage="1"/>
  </sheetPr>
  <dimension ref="A1:AB104"/>
  <sheetViews>
    <sheetView showGridLines="0" zoomScaleNormal="100" workbookViewId="0">
      <selection activeCell="P53" sqref="P53"/>
    </sheetView>
  </sheetViews>
  <sheetFormatPr defaultRowHeight="15" x14ac:dyDescent="0.25"/>
  <cols>
    <col min="1" max="1" width="8.85546875" style="2" customWidth="1"/>
    <col min="2" max="2" width="11.7109375" style="2" customWidth="1"/>
    <col min="3" max="18" width="9.140625" style="2"/>
    <col min="19" max="19" width="6.28515625" style="2" customWidth="1"/>
    <col min="20" max="21" width="9.140625" style="2"/>
    <col min="22" max="22" width="9.140625" style="2" customWidth="1"/>
    <col min="23" max="24" width="9.140625" style="2"/>
    <col min="25" max="25" width="8.85546875" style="2" customWidth="1"/>
    <col min="26" max="27" width="9.140625" style="2"/>
    <col min="29" max="16384" width="9.140625" style="2"/>
  </cols>
  <sheetData>
    <row r="1" spans="1:22" ht="15.75" thickBot="1" x14ac:dyDescent="0.3"/>
    <row r="2" spans="1:22" ht="15.75" thickBot="1" x14ac:dyDescent="0.3">
      <c r="A2" s="47"/>
      <c r="C2" s="131" t="s">
        <v>99</v>
      </c>
      <c r="D2" s="176"/>
      <c r="E2" s="177"/>
      <c r="F2" s="177"/>
      <c r="G2" s="177"/>
      <c r="H2" s="177"/>
      <c r="I2" s="178"/>
      <c r="J2" s="2" t="s">
        <v>98</v>
      </c>
      <c r="K2" s="3"/>
      <c r="L2" s="23"/>
      <c r="M2" s="30"/>
      <c r="N2" s="5"/>
      <c r="U2" s="31"/>
      <c r="V2" s="31"/>
    </row>
    <row r="3" spans="1:22" ht="15.75" thickBot="1" x14ac:dyDescent="0.3">
      <c r="A3" s="3"/>
      <c r="C3" s="131" t="s">
        <v>15</v>
      </c>
      <c r="D3" s="179"/>
      <c r="E3" s="180"/>
      <c r="F3" s="180"/>
      <c r="G3" s="180"/>
      <c r="H3" s="180"/>
      <c r="I3" s="181"/>
      <c r="L3" s="23"/>
      <c r="N3" s="5">
        <v>24</v>
      </c>
      <c r="U3" s="31"/>
      <c r="V3" s="31"/>
    </row>
    <row r="4" spans="1:22" ht="15.75" thickBot="1" x14ac:dyDescent="0.3">
      <c r="A4" s="3"/>
      <c r="C4" s="131" t="s">
        <v>13</v>
      </c>
      <c r="D4" s="97"/>
      <c r="E4" s="128" t="s">
        <v>8</v>
      </c>
      <c r="L4" s="131" t="s">
        <v>27</v>
      </c>
      <c r="M4" s="25"/>
      <c r="N4" s="128" t="s">
        <v>100</v>
      </c>
      <c r="U4" s="31"/>
      <c r="V4" s="31"/>
    </row>
    <row r="5" spans="1:22" ht="15.75" thickBot="1" x14ac:dyDescent="0.3">
      <c r="A5" s="3"/>
      <c r="C5" s="131" t="s">
        <v>76</v>
      </c>
      <c r="D5" s="96"/>
      <c r="E5" s="128" t="s">
        <v>16</v>
      </c>
      <c r="F5" s="6"/>
      <c r="L5" s="131" t="s">
        <v>44</v>
      </c>
      <c r="M5" s="100"/>
      <c r="N5"/>
      <c r="O5" s="98" t="s">
        <v>45</v>
      </c>
      <c r="P5" s="99"/>
      <c r="U5" s="31"/>
      <c r="V5" s="31"/>
    </row>
    <row r="6" spans="1:22" ht="15.75" thickBot="1" x14ac:dyDescent="0.3">
      <c r="A6" s="3"/>
      <c r="B6" s="4"/>
      <c r="C6" s="131" t="s">
        <v>29</v>
      </c>
      <c r="D6" s="25"/>
      <c r="E6" s="128" t="s">
        <v>77</v>
      </c>
      <c r="F6" s="7"/>
      <c r="L6" s="131" t="s">
        <v>30</v>
      </c>
      <c r="M6" s="25"/>
      <c r="N6" s="128" t="s">
        <v>91</v>
      </c>
      <c r="U6" s="31"/>
      <c r="V6" s="31"/>
    </row>
    <row r="7" spans="1:22" x14ac:dyDescent="0.25">
      <c r="N7" s="5">
        <v>48</v>
      </c>
      <c r="U7" s="31"/>
      <c r="V7" s="31"/>
    </row>
    <row r="8" spans="1:22" x14ac:dyDescent="0.25">
      <c r="N8" s="5" t="s">
        <v>0</v>
      </c>
      <c r="U8" s="31"/>
      <c r="V8" s="31"/>
    </row>
    <row r="9" spans="1:22" x14ac:dyDescent="0.25">
      <c r="I9" s="8"/>
    </row>
    <row r="10" spans="1:22" x14ac:dyDescent="0.25">
      <c r="I10" s="8"/>
    </row>
    <row r="11" spans="1:22" x14ac:dyDescent="0.25">
      <c r="I11" s="8"/>
    </row>
    <row r="12" spans="1:22" ht="15.75" thickBot="1" x14ac:dyDescent="0.3"/>
    <row r="13" spans="1:22" ht="15" customHeight="1" x14ac:dyDescent="0.35">
      <c r="A13" s="10"/>
      <c r="B13" s="11"/>
      <c r="C13" s="11"/>
      <c r="D13" s="11"/>
      <c r="E13" s="11"/>
      <c r="F13" s="11"/>
      <c r="G13" s="11"/>
      <c r="H13" s="12"/>
      <c r="I13" s="12"/>
      <c r="J13" s="12"/>
      <c r="K13" s="12"/>
      <c r="L13" s="12"/>
      <c r="M13" s="12"/>
      <c r="N13" s="11"/>
      <c r="O13" s="11"/>
      <c r="P13" s="13"/>
    </row>
    <row r="14" spans="1:22" ht="23.25" x14ac:dyDescent="0.35">
      <c r="A14" s="182" t="s">
        <v>7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4"/>
    </row>
    <row r="15" spans="1:22" x14ac:dyDescent="0.2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/>
      <c r="P15" s="17"/>
    </row>
    <row r="16" spans="1:22" x14ac:dyDescent="0.2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7"/>
    </row>
    <row r="17" spans="1:27" ht="15.75" thickBot="1" x14ac:dyDescent="0.3">
      <c r="A17" s="14"/>
      <c r="B17" s="1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15"/>
      <c r="P17" s="17"/>
    </row>
    <row r="18" spans="1:27" ht="15.75" thickBot="1" x14ac:dyDescent="0.3">
      <c r="A18" s="18"/>
      <c r="B18" s="15"/>
      <c r="C18" s="68"/>
      <c r="D18" s="68"/>
      <c r="E18" s="68"/>
      <c r="F18" s="124" t="s">
        <v>96</v>
      </c>
      <c r="G18" s="149"/>
      <c r="H18" s="150"/>
      <c r="I18" s="150"/>
      <c r="J18" s="150"/>
      <c r="K18" s="150"/>
      <c r="L18" s="151"/>
      <c r="M18" s="68"/>
      <c r="N18" s="71"/>
      <c r="O18" s="15"/>
      <c r="P18" s="19"/>
    </row>
    <row r="19" spans="1:27" ht="15.75" thickBot="1" x14ac:dyDescent="0.3">
      <c r="A19" s="18"/>
      <c r="B19" s="15"/>
      <c r="C19" s="68"/>
      <c r="D19" s="68"/>
      <c r="E19" s="68"/>
      <c r="F19" s="71" t="s">
        <v>15</v>
      </c>
      <c r="G19" s="152"/>
      <c r="H19" s="150"/>
      <c r="I19" s="150"/>
      <c r="J19" s="150"/>
      <c r="K19" s="150"/>
      <c r="L19" s="151"/>
      <c r="M19" s="68"/>
      <c r="N19" s="71"/>
      <c r="O19" s="15"/>
      <c r="P19" s="19"/>
    </row>
    <row r="20" spans="1:27" ht="15.75" thickBot="1" x14ac:dyDescent="0.3">
      <c r="A20" s="18"/>
      <c r="B20" s="15"/>
      <c r="C20" s="68"/>
      <c r="D20" s="68"/>
      <c r="E20" s="71"/>
      <c r="F20" s="71" t="s">
        <v>27</v>
      </c>
      <c r="G20" s="73"/>
      <c r="H20" s="136" t="s">
        <v>97</v>
      </c>
      <c r="I20" s="68"/>
      <c r="J20" s="68"/>
      <c r="K20" s="68"/>
      <c r="L20" s="68"/>
      <c r="M20" s="68"/>
      <c r="N20" s="68"/>
      <c r="O20" s="15"/>
      <c r="P20" s="17"/>
    </row>
    <row r="21" spans="1:27" ht="15.75" thickBot="1" x14ac:dyDescent="0.3">
      <c r="A21" s="18"/>
      <c r="B21" s="15"/>
      <c r="C21" s="68"/>
      <c r="D21" s="68"/>
      <c r="E21" s="71"/>
      <c r="F21" s="71" t="s">
        <v>28</v>
      </c>
      <c r="G21" s="74"/>
      <c r="H21" s="68" t="s">
        <v>0</v>
      </c>
      <c r="I21" s="68"/>
      <c r="J21" s="68"/>
      <c r="K21" s="68"/>
      <c r="L21" s="68"/>
      <c r="M21" s="68"/>
      <c r="N21" s="68"/>
      <c r="O21" s="15"/>
      <c r="P21" s="17"/>
    </row>
    <row r="22" spans="1:27" ht="15.75" thickBot="1" x14ac:dyDescent="0.3">
      <c r="A22" s="18"/>
      <c r="B22" s="15"/>
      <c r="C22" s="68"/>
      <c r="D22" s="68"/>
      <c r="E22" s="71"/>
      <c r="F22" s="71" t="s">
        <v>29</v>
      </c>
      <c r="G22" s="74"/>
      <c r="H22" s="68" t="s">
        <v>31</v>
      </c>
      <c r="I22" s="68"/>
      <c r="J22" s="68"/>
      <c r="K22" s="68"/>
      <c r="L22" s="68"/>
      <c r="M22" s="68"/>
      <c r="N22" s="68"/>
      <c r="O22" s="15"/>
      <c r="P22" s="17"/>
    </row>
    <row r="23" spans="1:27" ht="15.75" thickBot="1" x14ac:dyDescent="0.3">
      <c r="A23" s="18"/>
      <c r="B23" s="15"/>
      <c r="C23" s="68"/>
      <c r="D23" s="68"/>
      <c r="E23" s="71"/>
      <c r="F23" s="71" t="s">
        <v>30</v>
      </c>
      <c r="G23" s="74"/>
      <c r="H23" s="136" t="s">
        <v>92</v>
      </c>
      <c r="I23" s="68"/>
      <c r="J23" s="68"/>
      <c r="K23" s="68"/>
      <c r="L23" s="68"/>
      <c r="M23" s="68"/>
      <c r="N23" s="68"/>
      <c r="O23" s="15"/>
      <c r="P23" s="17"/>
    </row>
    <row r="24" spans="1:27" ht="15.75" thickBot="1" x14ac:dyDescent="0.3">
      <c r="A24" s="18"/>
      <c r="B24" s="15"/>
      <c r="C24" s="68"/>
      <c r="D24" s="68"/>
      <c r="E24" s="71"/>
      <c r="F24" s="71" t="s">
        <v>76</v>
      </c>
      <c r="G24" s="74"/>
      <c r="H24" s="68" t="s">
        <v>16</v>
      </c>
      <c r="I24" s="68"/>
      <c r="J24" s="68"/>
      <c r="K24" s="68"/>
      <c r="L24" s="68"/>
      <c r="M24" s="68"/>
      <c r="N24" s="68"/>
      <c r="O24" s="15"/>
      <c r="P24" s="17"/>
      <c r="S24"/>
      <c r="T24"/>
      <c r="U24"/>
      <c r="V24"/>
      <c r="W24"/>
      <c r="X24"/>
      <c r="Y24"/>
      <c r="Z24"/>
      <c r="AA24"/>
    </row>
    <row r="25" spans="1:27" ht="15.75" thickBot="1" x14ac:dyDescent="0.3">
      <c r="A25" s="14"/>
      <c r="B25" s="15"/>
      <c r="C25" s="16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7"/>
      <c r="S25"/>
      <c r="T25"/>
      <c r="U25"/>
      <c r="V25"/>
      <c r="W25"/>
      <c r="X25"/>
      <c r="Y25"/>
      <c r="Z25"/>
      <c r="AA25"/>
    </row>
    <row r="26" spans="1:27" ht="15" customHeight="1" x14ac:dyDescent="0.25">
      <c r="A26" s="191" t="s">
        <v>20</v>
      </c>
      <c r="B26" s="192"/>
      <c r="C26" s="188" t="s">
        <v>5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90"/>
      <c r="S26"/>
      <c r="T26"/>
      <c r="U26"/>
      <c r="V26"/>
      <c r="W26"/>
      <c r="X26"/>
      <c r="Y26"/>
      <c r="Z26"/>
      <c r="AA26"/>
    </row>
    <row r="27" spans="1:27" x14ac:dyDescent="0.25">
      <c r="A27" s="83">
        <v>80</v>
      </c>
      <c r="B27" s="84" t="s">
        <v>19</v>
      </c>
      <c r="C27" s="185">
        <v>65</v>
      </c>
      <c r="D27" s="185"/>
      <c r="E27" s="185">
        <v>75</v>
      </c>
      <c r="F27" s="185"/>
      <c r="G27" s="185">
        <v>80</v>
      </c>
      <c r="H27" s="185"/>
      <c r="I27" s="185">
        <v>85</v>
      </c>
      <c r="J27" s="185"/>
      <c r="K27" s="185">
        <v>90</v>
      </c>
      <c r="L27" s="185"/>
      <c r="M27" s="185">
        <v>95</v>
      </c>
      <c r="N27" s="187"/>
      <c r="O27" s="185">
        <v>105</v>
      </c>
      <c r="P27" s="186"/>
      <c r="Q27"/>
      <c r="R27"/>
      <c r="S27"/>
      <c r="T27"/>
      <c r="U27"/>
      <c r="V27"/>
      <c r="W27"/>
      <c r="X27"/>
      <c r="Y27"/>
      <c r="Z27"/>
      <c r="AA27"/>
    </row>
    <row r="28" spans="1:27" x14ac:dyDescent="0.25">
      <c r="A28" s="204" t="s">
        <v>0</v>
      </c>
      <c r="B28" s="196" t="s">
        <v>43</v>
      </c>
      <c r="C28" s="194" t="s">
        <v>1</v>
      </c>
      <c r="D28" s="194"/>
      <c r="E28" s="194" t="s">
        <v>1</v>
      </c>
      <c r="F28" s="194"/>
      <c r="G28" s="194" t="s">
        <v>1</v>
      </c>
      <c r="H28" s="194"/>
      <c r="I28" s="194" t="s">
        <v>1</v>
      </c>
      <c r="J28" s="194"/>
      <c r="K28" s="194" t="s">
        <v>1</v>
      </c>
      <c r="L28" s="194"/>
      <c r="M28" s="194" t="s">
        <v>1</v>
      </c>
      <c r="N28" s="203"/>
      <c r="O28" s="194" t="s">
        <v>1</v>
      </c>
      <c r="P28" s="206"/>
      <c r="Q28"/>
      <c r="R28"/>
      <c r="S28"/>
      <c r="T28"/>
      <c r="U28"/>
      <c r="V28"/>
      <c r="W28"/>
      <c r="X28"/>
      <c r="Y28"/>
      <c r="Z28"/>
      <c r="AA28"/>
    </row>
    <row r="29" spans="1:27" x14ac:dyDescent="0.25">
      <c r="A29" s="204"/>
      <c r="B29" s="197"/>
      <c r="C29" s="194" t="s">
        <v>2</v>
      </c>
      <c r="D29" s="194" t="s">
        <v>3</v>
      </c>
      <c r="E29" s="194" t="s">
        <v>2</v>
      </c>
      <c r="F29" s="194" t="s">
        <v>3</v>
      </c>
      <c r="G29" s="194" t="s">
        <v>2</v>
      </c>
      <c r="H29" s="194" t="s">
        <v>3</v>
      </c>
      <c r="I29" s="194" t="s">
        <v>2</v>
      </c>
      <c r="J29" s="194" t="s">
        <v>3</v>
      </c>
      <c r="K29" s="194" t="s">
        <v>2</v>
      </c>
      <c r="L29" s="194" t="s">
        <v>3</v>
      </c>
      <c r="M29" s="194" t="s">
        <v>2</v>
      </c>
      <c r="N29" s="194" t="s">
        <v>3</v>
      </c>
      <c r="O29" s="194" t="s">
        <v>2</v>
      </c>
      <c r="P29" s="206" t="s">
        <v>3</v>
      </c>
      <c r="Q29"/>
      <c r="R29"/>
      <c r="S29"/>
      <c r="T29"/>
      <c r="U29"/>
      <c r="V29"/>
      <c r="W29"/>
      <c r="X29"/>
      <c r="Y29"/>
      <c r="Z29"/>
      <c r="AA29"/>
    </row>
    <row r="30" spans="1:27" ht="15.75" thickBot="1" x14ac:dyDescent="0.3">
      <c r="A30" s="205"/>
      <c r="B30" s="198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207"/>
      <c r="Q30"/>
      <c r="R30"/>
      <c r="S30"/>
      <c r="T30"/>
      <c r="U30"/>
      <c r="V30"/>
      <c r="W30"/>
      <c r="X30"/>
      <c r="Y30"/>
      <c r="Z30"/>
      <c r="AA30"/>
    </row>
    <row r="31" spans="1:27" x14ac:dyDescent="0.25">
      <c r="A31" s="200"/>
      <c r="B31" s="140"/>
      <c r="C31" s="103"/>
      <c r="D31" s="103"/>
      <c r="E31" s="103"/>
      <c r="F31" s="103"/>
      <c r="G31" s="103"/>
      <c r="H31" s="103"/>
      <c r="I31" s="102"/>
      <c r="J31" s="102"/>
      <c r="K31" s="102"/>
      <c r="L31" s="102"/>
      <c r="M31" s="102"/>
      <c r="N31" s="102"/>
      <c r="O31" s="86"/>
      <c r="P31" s="87"/>
      <c r="Q31"/>
      <c r="R31"/>
      <c r="S31"/>
      <c r="T31"/>
      <c r="U31"/>
      <c r="V31"/>
      <c r="W31"/>
      <c r="X31"/>
      <c r="Y31"/>
      <c r="Z31"/>
      <c r="AA31"/>
    </row>
    <row r="32" spans="1:27" x14ac:dyDescent="0.25">
      <c r="A32" s="201"/>
      <c r="B32" s="141"/>
      <c r="C32" s="88"/>
      <c r="D32" s="88"/>
      <c r="E32" s="88"/>
      <c r="F32" s="88"/>
      <c r="G32" s="88"/>
      <c r="H32" s="88"/>
      <c r="I32" s="101"/>
      <c r="J32" s="101"/>
      <c r="K32" s="101"/>
      <c r="L32" s="101"/>
      <c r="M32" s="101"/>
      <c r="N32" s="101"/>
      <c r="O32" s="90"/>
      <c r="P32" s="91"/>
      <c r="Q32"/>
      <c r="R32"/>
      <c r="S32"/>
      <c r="T32"/>
      <c r="U32"/>
      <c r="V32"/>
      <c r="W32"/>
      <c r="X32"/>
      <c r="Y32"/>
      <c r="Z32"/>
      <c r="AA32"/>
    </row>
    <row r="33" spans="1:28" x14ac:dyDescent="0.25">
      <c r="A33" s="201"/>
      <c r="B33" s="89"/>
      <c r="C33" s="88"/>
      <c r="D33" s="105"/>
      <c r="E33" s="88"/>
      <c r="F33" s="105"/>
      <c r="G33" s="88"/>
      <c r="H33" s="88"/>
      <c r="I33" s="88"/>
      <c r="J33" s="88"/>
      <c r="K33" s="88"/>
      <c r="L33" s="105"/>
      <c r="M33" s="90"/>
      <c r="N33" s="92"/>
      <c r="O33" s="90"/>
      <c r="P33" s="93"/>
      <c r="Q33"/>
      <c r="R33"/>
      <c r="S33"/>
      <c r="T33"/>
      <c r="U33"/>
      <c r="V33"/>
      <c r="W33"/>
      <c r="X33"/>
      <c r="Y33"/>
      <c r="Z33"/>
      <c r="AA33"/>
    </row>
    <row r="34" spans="1:28" ht="15.75" thickBot="1" x14ac:dyDescent="0.3">
      <c r="A34" s="202"/>
      <c r="B34" s="142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94"/>
      <c r="N34" s="94"/>
      <c r="O34" s="94"/>
      <c r="P34" s="95"/>
      <c r="Q34"/>
      <c r="R34"/>
      <c r="S34"/>
      <c r="T34"/>
      <c r="U34"/>
      <c r="V34"/>
      <c r="W34"/>
      <c r="X34"/>
      <c r="Y34"/>
      <c r="Z34"/>
      <c r="AA34"/>
    </row>
    <row r="35" spans="1:28" x14ac:dyDescent="0.25">
      <c r="A35" s="200"/>
      <c r="B35" s="85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10"/>
      <c r="Q35"/>
      <c r="R35"/>
      <c r="S35"/>
      <c r="T35"/>
      <c r="U35"/>
      <c r="V35"/>
      <c r="W35"/>
      <c r="X35"/>
      <c r="Y35"/>
      <c r="Z35"/>
      <c r="AA35"/>
    </row>
    <row r="36" spans="1:28" x14ac:dyDescent="0.25">
      <c r="A36" s="201"/>
      <c r="B36" s="89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108"/>
      <c r="Q36"/>
      <c r="R36"/>
      <c r="S36"/>
      <c r="T36"/>
      <c r="U36"/>
      <c r="V36"/>
      <c r="W36"/>
      <c r="X36"/>
      <c r="Y36"/>
      <c r="Z36"/>
      <c r="AA36"/>
    </row>
    <row r="37" spans="1:28" x14ac:dyDescent="0.25">
      <c r="A37" s="201"/>
      <c r="B37" s="89"/>
      <c r="C37" s="88"/>
      <c r="D37" s="105"/>
      <c r="E37" s="88"/>
      <c r="F37" s="105"/>
      <c r="G37" s="88"/>
      <c r="H37" s="88"/>
      <c r="I37" s="88"/>
      <c r="J37" s="88"/>
      <c r="K37" s="88"/>
      <c r="L37" s="105"/>
      <c r="M37" s="88"/>
      <c r="N37" s="105"/>
      <c r="O37" s="88"/>
      <c r="P37" s="109"/>
      <c r="Q37"/>
      <c r="R37"/>
      <c r="S37"/>
      <c r="T37"/>
      <c r="U37"/>
      <c r="V37"/>
      <c r="W37"/>
      <c r="X37"/>
      <c r="Y37"/>
      <c r="Z37"/>
      <c r="AA37"/>
      <c r="AB37" s="107"/>
    </row>
    <row r="38" spans="1:28" ht="15.75" thickBot="1" x14ac:dyDescent="0.3">
      <c r="A38" s="202"/>
      <c r="B38" s="129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94"/>
      <c r="P38" s="95"/>
      <c r="Q38"/>
      <c r="R38"/>
      <c r="S38"/>
      <c r="T38"/>
      <c r="U38"/>
      <c r="V38"/>
      <c r="W38"/>
      <c r="X38"/>
      <c r="Y38"/>
      <c r="Z38"/>
      <c r="AA38"/>
    </row>
    <row r="39" spans="1:28" x14ac:dyDescent="0.25">
      <c r="A39" s="200"/>
      <c r="B39" s="140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10"/>
      <c r="Q39"/>
      <c r="R39"/>
      <c r="S39"/>
      <c r="T39"/>
      <c r="U39"/>
      <c r="V39"/>
      <c r="W39"/>
      <c r="X39"/>
      <c r="Y39"/>
      <c r="Z39"/>
      <c r="AA39"/>
    </row>
    <row r="40" spans="1:28" x14ac:dyDescent="0.25">
      <c r="A40" s="201"/>
      <c r="B40" s="141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108"/>
      <c r="Q40"/>
      <c r="R40"/>
      <c r="S40"/>
      <c r="T40"/>
      <c r="U40"/>
      <c r="V40"/>
      <c r="W40"/>
      <c r="X40"/>
      <c r="Y40"/>
      <c r="Z40"/>
      <c r="AA40"/>
    </row>
    <row r="41" spans="1:28" x14ac:dyDescent="0.25">
      <c r="A41" s="201"/>
      <c r="B41" s="143"/>
      <c r="C41" s="88"/>
      <c r="D41" s="105"/>
      <c r="E41" s="88"/>
      <c r="F41" s="105"/>
      <c r="G41" s="88"/>
      <c r="H41" s="88"/>
      <c r="I41" s="88"/>
      <c r="J41" s="88"/>
      <c r="K41" s="88"/>
      <c r="L41" s="105"/>
      <c r="M41" s="88"/>
      <c r="N41" s="105"/>
      <c r="O41" s="88"/>
      <c r="P41" s="109"/>
      <c r="Q41"/>
      <c r="R41"/>
      <c r="S41"/>
      <c r="T41"/>
      <c r="U41"/>
      <c r="V41"/>
      <c r="W41"/>
      <c r="X41"/>
      <c r="Y41"/>
      <c r="Z41"/>
      <c r="AA41"/>
    </row>
    <row r="42" spans="1:28" ht="15.75" thickBot="1" x14ac:dyDescent="0.3">
      <c r="A42" s="202"/>
      <c r="B42" s="142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94"/>
      <c r="P42" s="95"/>
      <c r="Q42"/>
      <c r="R42"/>
      <c r="S42"/>
      <c r="T42"/>
      <c r="U42"/>
      <c r="V42"/>
      <c r="W42"/>
      <c r="X42"/>
      <c r="Y42"/>
      <c r="Z42"/>
      <c r="AA42"/>
    </row>
    <row r="43" spans="1:28" ht="15.75" thickBot="1" x14ac:dyDescent="0.3">
      <c r="A43" s="130"/>
      <c r="B43" s="128"/>
      <c r="C43" s="123"/>
      <c r="D43" s="123"/>
      <c r="E43" s="123"/>
      <c r="F43" s="123"/>
      <c r="G43" s="123"/>
      <c r="H43" s="128"/>
      <c r="I43" s="123"/>
      <c r="J43" s="123"/>
      <c r="K43" s="123"/>
      <c r="L43" s="123"/>
      <c r="M43" s="123"/>
      <c r="N43" s="123"/>
      <c r="O43" s="33"/>
      <c r="P43" s="34"/>
      <c r="Q43"/>
      <c r="R43"/>
      <c r="S43"/>
      <c r="T43"/>
      <c r="U43"/>
      <c r="V43"/>
      <c r="W43"/>
      <c r="X43"/>
      <c r="Y43"/>
      <c r="Z43"/>
      <c r="AA43"/>
    </row>
    <row r="44" spans="1:28" ht="15.75" thickBot="1" x14ac:dyDescent="0.3">
      <c r="A44" s="121"/>
      <c r="B44" s="68"/>
      <c r="C44" s="71"/>
      <c r="D44" s="71" t="s">
        <v>27</v>
      </c>
      <c r="E44" s="74"/>
      <c r="F44" s="136" t="s">
        <v>97</v>
      </c>
      <c r="G44" s="68"/>
      <c r="H44" s="68"/>
      <c r="I44" s="33"/>
      <c r="J44" s="75" t="s">
        <v>32</v>
      </c>
      <c r="K44" s="76"/>
      <c r="L44" s="76"/>
      <c r="M44" s="76"/>
      <c r="N44" s="76"/>
      <c r="O44" s="77"/>
      <c r="P44" s="34"/>
      <c r="Q44" s="106"/>
      <c r="R44" s="106"/>
      <c r="S44"/>
      <c r="T44"/>
      <c r="U44"/>
      <c r="V44"/>
      <c r="W44"/>
      <c r="X44"/>
      <c r="Y44"/>
      <c r="Z44"/>
      <c r="AA44"/>
    </row>
    <row r="45" spans="1:28" ht="15.75" thickBot="1" x14ac:dyDescent="0.3">
      <c r="A45" s="121"/>
      <c r="B45" s="68"/>
      <c r="C45" s="71"/>
      <c r="D45" s="71" t="s">
        <v>28</v>
      </c>
      <c r="E45" s="74"/>
      <c r="F45" s="68" t="s">
        <v>0</v>
      </c>
      <c r="G45" s="68"/>
      <c r="H45" s="68"/>
      <c r="I45" s="33"/>
      <c r="J45" s="78"/>
      <c r="K45" s="76" t="s">
        <v>33</v>
      </c>
      <c r="L45" s="77"/>
      <c r="M45" s="78"/>
      <c r="N45" s="76"/>
      <c r="O45" s="77"/>
      <c r="P45" s="34"/>
      <c r="Q45" s="106"/>
      <c r="R45" s="106"/>
      <c r="S45"/>
      <c r="T45"/>
      <c r="U45"/>
      <c r="V45"/>
      <c r="W45"/>
      <c r="X45"/>
      <c r="Y45"/>
      <c r="Z45"/>
      <c r="AA45"/>
    </row>
    <row r="46" spans="1:28" ht="17.25" thickBot="1" x14ac:dyDescent="0.4">
      <c r="A46" s="121"/>
      <c r="B46" s="82"/>
      <c r="C46" s="71"/>
      <c r="D46" s="124" t="s">
        <v>30</v>
      </c>
      <c r="E46" s="74"/>
      <c r="F46" s="136" t="s">
        <v>92</v>
      </c>
      <c r="G46" s="68"/>
      <c r="H46" s="68"/>
      <c r="I46" s="33"/>
      <c r="J46" s="79"/>
      <c r="K46" s="80" t="s">
        <v>73</v>
      </c>
      <c r="L46" s="81"/>
      <c r="M46" s="79"/>
      <c r="N46" s="80"/>
      <c r="O46" s="81"/>
      <c r="P46" s="34"/>
      <c r="Q46" s="106"/>
      <c r="R46" s="106"/>
      <c r="S46"/>
      <c r="T46"/>
      <c r="U46"/>
      <c r="V46"/>
      <c r="W46"/>
      <c r="X46"/>
      <c r="Y46"/>
      <c r="Z46"/>
      <c r="AA46"/>
    </row>
    <row r="47" spans="1:28" x14ac:dyDescent="0.25">
      <c r="A47" s="32"/>
      <c r="B47" s="33"/>
      <c r="C47" s="33"/>
      <c r="D47" s="33"/>
      <c r="E47" s="33"/>
      <c r="F47" s="33"/>
      <c r="G47" s="33"/>
      <c r="H47" s="33"/>
      <c r="I47" s="33"/>
      <c r="J47" s="199" t="s">
        <v>98</v>
      </c>
      <c r="K47" s="199"/>
      <c r="L47" s="199"/>
      <c r="M47" s="199"/>
      <c r="N47" s="199"/>
      <c r="O47" s="199"/>
      <c r="P47" s="34"/>
      <c r="Q47" s="106"/>
      <c r="R47" s="106"/>
      <c r="S47"/>
      <c r="T47"/>
      <c r="U47"/>
      <c r="V47"/>
      <c r="W47"/>
      <c r="X47"/>
      <c r="Y47"/>
      <c r="Z47"/>
      <c r="AA47"/>
    </row>
    <row r="48" spans="1:28" x14ac:dyDescent="0.25">
      <c r="A48" s="14" t="s">
        <v>4</v>
      </c>
      <c r="B48" s="15" t="s">
        <v>6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7"/>
      <c r="Q48" s="106"/>
      <c r="R48" s="106"/>
      <c r="S48"/>
      <c r="T48"/>
      <c r="U48"/>
      <c r="V48"/>
      <c r="W48"/>
      <c r="X48"/>
      <c r="Y48"/>
      <c r="Z48"/>
      <c r="AA48"/>
    </row>
    <row r="49" spans="1:27" x14ac:dyDescent="0.25">
      <c r="A49" s="14"/>
      <c r="B49" s="20" t="s">
        <v>14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7"/>
      <c r="Q49" s="106"/>
      <c r="R49" s="106"/>
      <c r="S49"/>
      <c r="T49"/>
      <c r="U49"/>
      <c r="V49"/>
      <c r="W49"/>
      <c r="X49"/>
      <c r="Y49"/>
      <c r="Z49"/>
      <c r="AA49"/>
    </row>
    <row r="50" spans="1:27" x14ac:dyDescent="0.25">
      <c r="A50" s="14"/>
      <c r="B50" s="26" t="s">
        <v>18</v>
      </c>
      <c r="C50" s="20"/>
      <c r="D50" s="20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7"/>
      <c r="Q50" s="106"/>
      <c r="R50" s="106"/>
      <c r="S50"/>
      <c r="T50"/>
      <c r="U50"/>
      <c r="V50"/>
      <c r="W50"/>
      <c r="X50"/>
      <c r="Y50"/>
      <c r="Z50"/>
      <c r="AA50"/>
    </row>
    <row r="51" spans="1:27" x14ac:dyDescent="0.25">
      <c r="A51" s="122"/>
      <c r="B51" s="126" t="s">
        <v>89</v>
      </c>
      <c r="C51" s="26"/>
      <c r="D51" s="2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7"/>
      <c r="Q51" s="106"/>
      <c r="R51" s="106"/>
      <c r="S51"/>
      <c r="T51"/>
      <c r="U51"/>
      <c r="V51"/>
      <c r="W51"/>
      <c r="X51"/>
      <c r="Y51"/>
      <c r="Z51"/>
      <c r="AA51"/>
    </row>
    <row r="52" spans="1:27" x14ac:dyDescent="0.25">
      <c r="A52" s="14"/>
      <c r="B52" s="126" t="s">
        <v>87</v>
      </c>
      <c r="C52" s="127"/>
      <c r="D52" s="127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7"/>
      <c r="S52"/>
      <c r="T52"/>
      <c r="U52"/>
      <c r="V52"/>
      <c r="W52"/>
      <c r="X52"/>
      <c r="Y52"/>
      <c r="Z52"/>
      <c r="AA52"/>
    </row>
    <row r="53" spans="1:27" ht="15.75" thickBot="1" x14ac:dyDescent="0.3">
      <c r="A53" s="27" t="s">
        <v>17</v>
      </c>
      <c r="B53" s="193"/>
      <c r="C53" s="193"/>
      <c r="D53" s="193"/>
      <c r="E53" s="193"/>
      <c r="F53" s="21"/>
      <c r="G53" s="21"/>
      <c r="H53" s="24"/>
      <c r="I53" s="21"/>
      <c r="J53" s="21"/>
      <c r="K53" s="21"/>
      <c r="L53" s="21"/>
      <c r="M53" s="21"/>
      <c r="N53" s="21"/>
      <c r="O53" s="21"/>
      <c r="P53" s="22" t="s">
        <v>108</v>
      </c>
      <c r="S53"/>
      <c r="T53"/>
      <c r="U53"/>
      <c r="V53"/>
      <c r="W53"/>
      <c r="X53"/>
      <c r="Y53"/>
      <c r="Z53"/>
      <c r="AA53"/>
    </row>
    <row r="54" spans="1:27" x14ac:dyDescent="0.25">
      <c r="S54"/>
      <c r="T54"/>
      <c r="U54"/>
      <c r="V54"/>
      <c r="W54"/>
      <c r="X54"/>
      <c r="Y54"/>
      <c r="Z54"/>
      <c r="AA54"/>
    </row>
    <row r="55" spans="1:27" x14ac:dyDescent="0.25">
      <c r="B55" s="3"/>
      <c r="C55" s="3"/>
      <c r="D55" s="3"/>
      <c r="E55" s="3"/>
    </row>
    <row r="56" spans="1:27" x14ac:dyDescent="0.25">
      <c r="B56" s="3"/>
      <c r="C56" s="3"/>
      <c r="D56" s="3"/>
      <c r="K56" s="3"/>
      <c r="L56" s="3"/>
      <c r="M56" s="3"/>
      <c r="N56" s="3"/>
    </row>
    <row r="57" spans="1:27" x14ac:dyDescent="0.25">
      <c r="B57" s="3"/>
      <c r="C57" s="3"/>
      <c r="D57" s="3"/>
      <c r="O57" s="9"/>
    </row>
    <row r="58" spans="1:27" x14ac:dyDescent="0.25">
      <c r="B58" s="3"/>
      <c r="C58" s="3"/>
      <c r="D58" s="3"/>
      <c r="O58" s="9"/>
    </row>
    <row r="59" spans="1:27" x14ac:dyDescent="0.25">
      <c r="B59" s="3"/>
      <c r="C59" s="3"/>
      <c r="D59" s="3"/>
      <c r="O59" s="9"/>
    </row>
    <row r="60" spans="1:27" x14ac:dyDescent="0.25">
      <c r="B60" s="3"/>
      <c r="C60" s="3"/>
      <c r="D60" s="3"/>
      <c r="O60" s="9"/>
    </row>
    <row r="61" spans="1:27" x14ac:dyDescent="0.25">
      <c r="B61" s="3"/>
      <c r="C61" s="3"/>
      <c r="D61" s="3"/>
      <c r="O61" s="9"/>
    </row>
    <row r="62" spans="1:27" x14ac:dyDescent="0.25">
      <c r="B62" s="3"/>
      <c r="C62" s="3"/>
      <c r="D62" s="3"/>
      <c r="O62" s="9"/>
    </row>
    <row r="63" spans="1:27" x14ac:dyDescent="0.25">
      <c r="B63" s="3"/>
      <c r="C63" s="3"/>
      <c r="D63" s="3"/>
      <c r="O63" s="9"/>
    </row>
    <row r="64" spans="1:27" x14ac:dyDescent="0.25">
      <c r="B64" s="3"/>
      <c r="C64" s="3"/>
      <c r="D64" s="3"/>
      <c r="O64" s="9"/>
    </row>
    <row r="65" spans="2:15" x14ac:dyDescent="0.25">
      <c r="B65" s="3"/>
      <c r="C65" s="3"/>
      <c r="D65" s="3"/>
      <c r="O65" s="9"/>
    </row>
    <row r="66" spans="2:15" x14ac:dyDescent="0.25">
      <c r="B66" s="3"/>
      <c r="C66" s="3"/>
      <c r="D66" s="3"/>
      <c r="O66" s="9"/>
    </row>
    <row r="67" spans="2:15" x14ac:dyDescent="0.25">
      <c r="B67" s="3"/>
      <c r="C67" s="3"/>
      <c r="D67" s="3"/>
      <c r="O67" s="9"/>
    </row>
    <row r="68" spans="2:15" x14ac:dyDescent="0.25">
      <c r="B68" s="3"/>
      <c r="C68" s="3"/>
      <c r="D68" s="3"/>
      <c r="O68" s="9"/>
    </row>
    <row r="93" spans="2:4" x14ac:dyDescent="0.25">
      <c r="B93" s="3"/>
      <c r="C93" s="3"/>
      <c r="D93" s="3"/>
    </row>
    <row r="94" spans="2:4" x14ac:dyDescent="0.25">
      <c r="B94" s="3"/>
      <c r="C94" s="3"/>
      <c r="D94" s="3"/>
    </row>
    <row r="95" spans="2:4" x14ac:dyDescent="0.25">
      <c r="B95" s="3"/>
      <c r="C95" s="3"/>
      <c r="D95" s="3"/>
    </row>
    <row r="96" spans="2:4" x14ac:dyDescent="0.25">
      <c r="B96" s="3"/>
      <c r="C96" s="3"/>
      <c r="D96" s="3"/>
    </row>
    <row r="97" spans="2:4" x14ac:dyDescent="0.25">
      <c r="B97" s="3"/>
      <c r="C97" s="3"/>
      <c r="D97" s="3"/>
    </row>
    <row r="98" spans="2:4" x14ac:dyDescent="0.25">
      <c r="B98" s="3"/>
      <c r="C98" s="3"/>
      <c r="D98" s="3"/>
    </row>
    <row r="99" spans="2:4" x14ac:dyDescent="0.25">
      <c r="B99" s="3"/>
      <c r="C99" s="3"/>
      <c r="D99" s="3"/>
    </row>
    <row r="100" spans="2:4" x14ac:dyDescent="0.25">
      <c r="B100" s="3"/>
      <c r="C100" s="3"/>
      <c r="D100" s="3"/>
    </row>
    <row r="101" spans="2:4" x14ac:dyDescent="0.25">
      <c r="B101" s="3"/>
      <c r="C101" s="3"/>
      <c r="D101" s="3"/>
    </row>
    <row r="102" spans="2:4" x14ac:dyDescent="0.25">
      <c r="B102" s="3"/>
      <c r="C102" s="3"/>
      <c r="D102" s="3"/>
    </row>
    <row r="103" spans="2:4" x14ac:dyDescent="0.25">
      <c r="B103" s="3"/>
      <c r="C103" s="3"/>
      <c r="D103" s="3"/>
    </row>
    <row r="104" spans="2:4" x14ac:dyDescent="0.25">
      <c r="B104" s="3"/>
      <c r="C104" s="3"/>
      <c r="D104" s="3"/>
    </row>
  </sheetData>
  <sheetProtection sheet="1" objects="1" scenarios="1"/>
  <mergeCells count="42">
    <mergeCell ref="P29:P30"/>
    <mergeCell ref="E28:F28"/>
    <mergeCell ref="A35:A38"/>
    <mergeCell ref="N29:N30"/>
    <mergeCell ref="K29:K30"/>
    <mergeCell ref="O28:P28"/>
    <mergeCell ref="O29:O30"/>
    <mergeCell ref="A39:A42"/>
    <mergeCell ref="M28:N28"/>
    <mergeCell ref="E29:E30"/>
    <mergeCell ref="F29:F30"/>
    <mergeCell ref="G29:G30"/>
    <mergeCell ref="H29:H30"/>
    <mergeCell ref="A31:A34"/>
    <mergeCell ref="I28:J28"/>
    <mergeCell ref="K28:L28"/>
    <mergeCell ref="M29:M30"/>
    <mergeCell ref="A28:A30"/>
    <mergeCell ref="L29:L30"/>
    <mergeCell ref="B53:E53"/>
    <mergeCell ref="C29:C30"/>
    <mergeCell ref="D29:D30"/>
    <mergeCell ref="J29:J30"/>
    <mergeCell ref="I29:I30"/>
    <mergeCell ref="B28:B30"/>
    <mergeCell ref="C28:D28"/>
    <mergeCell ref="G28:H28"/>
    <mergeCell ref="J47:O47"/>
    <mergeCell ref="D2:I2"/>
    <mergeCell ref="D3:I3"/>
    <mergeCell ref="A14:P14"/>
    <mergeCell ref="O27:P27"/>
    <mergeCell ref="K27:L27"/>
    <mergeCell ref="G19:L19"/>
    <mergeCell ref="E27:F27"/>
    <mergeCell ref="M27:N27"/>
    <mergeCell ref="I27:J27"/>
    <mergeCell ref="C26:P26"/>
    <mergeCell ref="A26:B26"/>
    <mergeCell ref="C27:D27"/>
    <mergeCell ref="G18:L18"/>
    <mergeCell ref="G27:H27"/>
  </mergeCells>
  <phoneticPr fontId="16" type="noConversion"/>
  <dataValidations count="2">
    <dataValidation type="list" allowBlank="1" showInputMessage="1" showErrorMessage="1" sqref="D4">
      <formula1>NCoptions</formula1>
    </dataValidation>
    <dataValidation type="list" allowBlank="1" showInputMessage="1" showErrorMessage="1" sqref="D2:I2">
      <formula1>Loptions</formula1>
    </dataValidation>
  </dataValidations>
  <printOptions horizontalCentered="1"/>
  <pageMargins left="0.5" right="0.5" top="0.75" bottom="0.75" header="0.3" footer="0.3"/>
  <pageSetup scale="81" orientation="landscape" r:id="rId1"/>
  <drawing r:id="rId2"/>
  <legacyDrawing r:id="rId3"/>
  <controls>
    <mc:AlternateContent xmlns:mc="http://schemas.openxmlformats.org/markup-compatibility/2006">
      <mc:Choice Requires="x14">
        <control shapeId="1455" r:id="rId4" name="cmd_Copy">
          <controlPr defaultSize="0" autoLine="0" autoPict="0" r:id="rId5">
            <anchor moveWithCells="1">
              <from>
                <xdr:col>4</xdr:col>
                <xdr:colOff>152400</xdr:colOff>
                <xdr:row>8</xdr:row>
                <xdr:rowOff>95250</xdr:rowOff>
              </from>
              <to>
                <xdr:col>5</xdr:col>
                <xdr:colOff>180975</xdr:colOff>
                <xdr:row>9</xdr:row>
                <xdr:rowOff>171450</xdr:rowOff>
              </to>
            </anchor>
          </controlPr>
        </control>
      </mc:Choice>
      <mc:Fallback>
        <control shapeId="1455" r:id="rId4" name="cmd_Copy"/>
      </mc:Fallback>
    </mc:AlternateContent>
    <mc:AlternateContent xmlns:mc="http://schemas.openxmlformats.org/markup-compatibility/2006">
      <mc:Choice Requires="x14">
        <control shapeId="1453" r:id="rId6" name="cmd_Clear">
          <controlPr defaultSize="0" autoLine="0" autoPict="0" r:id="rId7">
            <anchor moveWithCells="1">
              <from>
                <xdr:col>3</xdr:col>
                <xdr:colOff>76200</xdr:colOff>
                <xdr:row>10</xdr:row>
                <xdr:rowOff>28575</xdr:rowOff>
              </from>
              <to>
                <xdr:col>4</xdr:col>
                <xdr:colOff>104775</xdr:colOff>
                <xdr:row>11</xdr:row>
                <xdr:rowOff>104775</xdr:rowOff>
              </to>
            </anchor>
          </controlPr>
        </control>
      </mc:Choice>
      <mc:Fallback>
        <control shapeId="1453" r:id="rId6" name="cmd_Clear"/>
      </mc:Fallback>
    </mc:AlternateContent>
    <mc:AlternateContent xmlns:mc="http://schemas.openxmlformats.org/markup-compatibility/2006">
      <mc:Choice Requires="x14">
        <control shapeId="1430" r:id="rId8" name="cmd_Print">
          <controlPr defaultSize="0" autoLine="0" autoPict="0" r:id="rId9">
            <anchor moveWithCells="1">
              <from>
                <xdr:col>3</xdr:col>
                <xdr:colOff>76200</xdr:colOff>
                <xdr:row>8</xdr:row>
                <xdr:rowOff>95250</xdr:rowOff>
              </from>
              <to>
                <xdr:col>4</xdr:col>
                <xdr:colOff>104775</xdr:colOff>
                <xdr:row>9</xdr:row>
                <xdr:rowOff>171450</xdr:rowOff>
              </to>
            </anchor>
          </controlPr>
        </control>
      </mc:Choice>
      <mc:Fallback>
        <control shapeId="1430" r:id="rId8" name="cmd_Print"/>
      </mc:Fallback>
    </mc:AlternateContent>
    <mc:AlternateContent xmlns:mc="http://schemas.openxmlformats.org/markup-compatibility/2006">
      <mc:Choice Requires="x14">
        <control shapeId="1363" r:id="rId10" name="cmd_Calc">
          <controlPr defaultSize="0" autoLine="0" autoPict="0" r:id="rId11">
            <anchor moveWithCells="1">
              <from>
                <xdr:col>3</xdr:col>
                <xdr:colOff>76200</xdr:colOff>
                <xdr:row>6</xdr:row>
                <xdr:rowOff>161925</xdr:rowOff>
              </from>
              <to>
                <xdr:col>4</xdr:col>
                <xdr:colOff>104775</xdr:colOff>
                <xdr:row>8</xdr:row>
                <xdr:rowOff>47625</xdr:rowOff>
              </to>
            </anchor>
          </controlPr>
        </control>
      </mc:Choice>
      <mc:Fallback>
        <control shapeId="1363" r:id="rId10" name="cmd_Calc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6:G43"/>
  <sheetViews>
    <sheetView showGridLines="0" topLeftCell="A19" workbookViewId="0">
      <selection activeCell="C39" sqref="C39"/>
    </sheetView>
  </sheetViews>
  <sheetFormatPr defaultRowHeight="15" x14ac:dyDescent="0.25"/>
  <cols>
    <col min="4" max="4" width="11.140625" bestFit="1" customWidth="1"/>
  </cols>
  <sheetData>
    <row r="6" spans="2:7" ht="23.25" x14ac:dyDescent="0.35">
      <c r="B6" s="1"/>
      <c r="C6" s="1"/>
      <c r="D6" s="1"/>
      <c r="E6" s="1"/>
      <c r="F6" s="1"/>
      <c r="G6" s="1"/>
    </row>
    <row r="7" spans="2:7" ht="15" customHeight="1" x14ac:dyDescent="0.35">
      <c r="B7" s="29" t="s">
        <v>63</v>
      </c>
      <c r="C7" s="1"/>
      <c r="D7" s="1"/>
      <c r="E7" s="1"/>
      <c r="F7" s="1"/>
      <c r="G7" s="1"/>
    </row>
    <row r="8" spans="2:7" ht="15" customHeight="1" x14ac:dyDescent="0.35">
      <c r="B8" s="29" t="s">
        <v>54</v>
      </c>
      <c r="C8" s="1"/>
      <c r="D8" s="1"/>
      <c r="E8" s="1"/>
      <c r="F8" s="1"/>
      <c r="G8" s="1"/>
    </row>
    <row r="9" spans="2:7" ht="15" customHeight="1" x14ac:dyDescent="0.35">
      <c r="B9" s="29"/>
      <c r="C9" s="1"/>
      <c r="D9" s="1"/>
      <c r="E9" s="1"/>
      <c r="F9" s="1"/>
      <c r="G9" s="1"/>
    </row>
    <row r="10" spans="2:7" x14ac:dyDescent="0.25">
      <c r="B10" s="29" t="s">
        <v>90</v>
      </c>
    </row>
    <row r="11" spans="2:7" x14ac:dyDescent="0.25">
      <c r="B11" s="29"/>
    </row>
    <row r="12" spans="2:7" x14ac:dyDescent="0.25">
      <c r="B12" s="29" t="s">
        <v>55</v>
      </c>
    </row>
    <row r="13" spans="2:7" x14ac:dyDescent="0.25">
      <c r="B13" s="29"/>
      <c r="C13" t="s">
        <v>70</v>
      </c>
    </row>
    <row r="14" spans="2:7" x14ac:dyDescent="0.25">
      <c r="B14" s="29"/>
      <c r="C14" t="s">
        <v>56</v>
      </c>
    </row>
    <row r="15" spans="2:7" x14ac:dyDescent="0.25">
      <c r="B15" s="29"/>
      <c r="C15" t="s">
        <v>57</v>
      </c>
    </row>
    <row r="16" spans="2:7" x14ac:dyDescent="0.25">
      <c r="B16" s="29"/>
      <c r="C16" t="s">
        <v>58</v>
      </c>
    </row>
    <row r="17" spans="2:3" x14ac:dyDescent="0.25">
      <c r="C17" t="s">
        <v>71</v>
      </c>
    </row>
    <row r="18" spans="2:3" x14ac:dyDescent="0.25">
      <c r="C18" t="s">
        <v>59</v>
      </c>
    </row>
    <row r="19" spans="2:3" x14ac:dyDescent="0.25">
      <c r="C19" t="s">
        <v>60</v>
      </c>
    </row>
    <row r="20" spans="2:3" x14ac:dyDescent="0.25">
      <c r="C20" t="s">
        <v>61</v>
      </c>
    </row>
    <row r="22" spans="2:3" x14ac:dyDescent="0.25">
      <c r="B22" s="29" t="s">
        <v>72</v>
      </c>
    </row>
    <row r="23" spans="2:3" x14ac:dyDescent="0.25">
      <c r="B23" s="29" t="s">
        <v>64</v>
      </c>
    </row>
    <row r="24" spans="2:3" x14ac:dyDescent="0.25">
      <c r="B24" s="29" t="s">
        <v>62</v>
      </c>
    </row>
    <row r="25" spans="2:3" x14ac:dyDescent="0.25">
      <c r="B25" s="29" t="s">
        <v>65</v>
      </c>
    </row>
    <row r="26" spans="2:3" x14ac:dyDescent="0.25">
      <c r="B26" s="29" t="s">
        <v>66</v>
      </c>
    </row>
    <row r="27" spans="2:3" x14ac:dyDescent="0.25">
      <c r="B27" s="29" t="s">
        <v>67</v>
      </c>
    </row>
    <row r="28" spans="2:3" x14ac:dyDescent="0.25">
      <c r="C28" t="s">
        <v>68</v>
      </c>
    </row>
    <row r="29" spans="2:3" x14ac:dyDescent="0.25">
      <c r="C29" t="s">
        <v>69</v>
      </c>
    </row>
    <row r="30" spans="2:3" x14ac:dyDescent="0.25">
      <c r="C30" t="s">
        <v>74</v>
      </c>
    </row>
    <row r="32" spans="2:3" x14ac:dyDescent="0.25">
      <c r="B32" s="29" t="s">
        <v>4</v>
      </c>
      <c r="C32" s="29" t="s">
        <v>85</v>
      </c>
    </row>
    <row r="33" spans="2:5" x14ac:dyDescent="0.25">
      <c r="C33" s="29" t="s">
        <v>86</v>
      </c>
    </row>
    <row r="34" spans="2:5" x14ac:dyDescent="0.25">
      <c r="C34" s="29" t="s">
        <v>88</v>
      </c>
    </row>
    <row r="36" spans="2:5" x14ac:dyDescent="0.25">
      <c r="B36" s="132" t="s">
        <v>78</v>
      </c>
      <c r="C36" s="133" t="s">
        <v>101</v>
      </c>
      <c r="D36" s="134">
        <v>41786</v>
      </c>
      <c r="E36" s="135" t="s">
        <v>79</v>
      </c>
    </row>
    <row r="37" spans="2:5" x14ac:dyDescent="0.25">
      <c r="C37" s="133" t="s">
        <v>104</v>
      </c>
      <c r="D37" s="134">
        <v>42035</v>
      </c>
      <c r="E37" s="135" t="s">
        <v>105</v>
      </c>
    </row>
    <row r="38" spans="2:5" x14ac:dyDescent="0.25">
      <c r="C38" s="133" t="s">
        <v>106</v>
      </c>
      <c r="D38" s="134">
        <v>42451</v>
      </c>
      <c r="E38" s="135" t="s">
        <v>107</v>
      </c>
    </row>
    <row r="39" spans="2:5" x14ac:dyDescent="0.25">
      <c r="C39" s="133" t="s">
        <v>108</v>
      </c>
      <c r="D39" s="134">
        <v>43605</v>
      </c>
      <c r="E39" s="135" t="s">
        <v>109</v>
      </c>
    </row>
    <row r="40" spans="2:5" x14ac:dyDescent="0.25">
      <c r="C40" s="133"/>
      <c r="D40" s="134"/>
      <c r="E40" s="135"/>
    </row>
    <row r="41" spans="2:5" x14ac:dyDescent="0.25">
      <c r="C41" s="133"/>
      <c r="D41" s="134"/>
      <c r="E41" s="135"/>
    </row>
    <row r="42" spans="2:5" x14ac:dyDescent="0.25">
      <c r="B42" s="125"/>
    </row>
    <row r="43" spans="2:5" x14ac:dyDescent="0.25">
      <c r="B43" s="126"/>
    </row>
  </sheetData>
  <sheetProtection selectLockedCells="1" selectUnlockedCells="1"/>
  <pageMargins left="0.5" right="0.5" top="0.5" bottom="0.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Prompt</vt:lpstr>
      <vt:lpstr>CFM</vt:lpstr>
      <vt:lpstr>eaf</vt:lpstr>
      <vt:lpstr>FormRange</vt:lpstr>
      <vt:lpstr>Loptions</vt:lpstr>
      <vt:lpstr>mbtuh</vt:lpstr>
      <vt:lpstr>NCoptions</vt:lpstr>
      <vt:lpstr>Form!Print_Area</vt:lpstr>
    </vt:vector>
  </TitlesOfParts>
  <Company>Lennox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Orr</dc:creator>
  <cp:lastModifiedBy>Anthony Pickle</cp:lastModifiedBy>
  <cp:lastPrinted>2012-02-08T20:34:44Z</cp:lastPrinted>
  <dcterms:created xsi:type="dcterms:W3CDTF">2009-07-09T20:14:06Z</dcterms:created>
  <dcterms:modified xsi:type="dcterms:W3CDTF">2019-05-20T21:13:20Z</dcterms:modified>
</cp:coreProperties>
</file>